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defaultThemeVersion="124226"/>
  <mc:AlternateContent xmlns:mc="http://schemas.openxmlformats.org/markup-compatibility/2006">
    <mc:Choice Requires="x15">
      <x15ac:absPath xmlns:x15ac="http://schemas.microsoft.com/office/spreadsheetml/2010/11/ac" url="G:\_DIVTEL\Broadband\1-Broadband Florida Programs\E-Rate Support\FY_2016-17_E-rate Files\FY2016-17 Valid File\Admin Docs\"/>
    </mc:Choice>
  </mc:AlternateContent>
  <bookViews>
    <workbookView xWindow="0" yWindow="0" windowWidth="28740" windowHeight="8280"/>
  </bookViews>
  <sheets>
    <sheet name="Discount Percentage by School" sheetId="2" r:id="rId1"/>
    <sheet name="Discount Percentage by District" sheetId="5" r:id="rId2"/>
  </sheets>
  <definedNames>
    <definedName name="_xlnm._FilterDatabase" localSheetId="0" hidden="1">'Discount Percentage by School'!$A$2:$N$3844</definedName>
  </definedNames>
  <calcPr calcId="152511"/>
  <pivotCaches>
    <pivotCache cacheId="13" r:id="rId3"/>
  </pivotCaches>
</workbook>
</file>

<file path=xl/calcChain.xml><?xml version="1.0" encoding="utf-8"?>
<calcChain xmlns="http://schemas.openxmlformats.org/spreadsheetml/2006/main">
  <c r="M3332" i="2" l="1"/>
  <c r="N3332" i="2" s="1"/>
  <c r="M3239" i="2" l="1"/>
  <c r="N3239" i="2" s="1"/>
  <c r="M3240" i="2"/>
  <c r="N3240" i="2" s="1"/>
  <c r="M3022" i="2"/>
  <c r="N3022" i="2" s="1"/>
  <c r="F2677" i="2" l="1"/>
  <c r="F2676" i="2"/>
  <c r="F2675" i="2"/>
  <c r="F2673" i="2"/>
  <c r="F2671" i="2"/>
  <c r="F2670" i="2"/>
  <c r="F2669" i="2"/>
  <c r="F2668" i="2"/>
  <c r="F2666" i="2"/>
  <c r="F2665" i="2"/>
  <c r="F2664" i="2"/>
  <c r="F2663" i="2"/>
  <c r="F2661" i="2"/>
  <c r="F2660" i="2"/>
  <c r="F2659" i="2"/>
  <c r="F2658" i="2"/>
  <c r="F2657" i="2"/>
  <c r="F2655" i="2"/>
  <c r="F2654" i="2"/>
  <c r="F2653" i="2"/>
  <c r="F2652" i="2"/>
  <c r="F2650" i="2"/>
  <c r="F2649" i="2"/>
  <c r="F2647" i="2"/>
  <c r="F2646" i="2"/>
  <c r="F2644" i="2"/>
  <c r="F2643" i="2"/>
  <c r="F2642" i="2"/>
  <c r="F2641" i="2"/>
  <c r="F2640" i="2"/>
  <c r="F2639" i="2"/>
  <c r="F2638" i="2"/>
  <c r="F2637" i="2"/>
  <c r="F2634" i="2"/>
  <c r="F2633" i="2"/>
  <c r="F2632" i="2"/>
  <c r="F2631" i="2"/>
  <c r="F2630" i="2"/>
  <c r="F2629" i="2"/>
  <c r="F2626" i="2"/>
  <c r="F2624" i="2"/>
  <c r="F2622" i="2"/>
  <c r="F2621" i="2"/>
  <c r="F2620" i="2"/>
  <c r="F2619" i="2"/>
  <c r="F2616" i="2"/>
  <c r="F2613" i="2"/>
  <c r="F2611" i="2"/>
  <c r="F2610" i="2"/>
  <c r="F2609" i="2"/>
  <c r="F2608" i="2"/>
  <c r="F2607" i="2"/>
  <c r="F2606" i="2"/>
  <c r="F2605" i="2"/>
  <c r="F2603" i="2"/>
  <c r="F2602" i="2"/>
  <c r="F2601" i="2"/>
  <c r="F2600" i="2"/>
  <c r="F2599" i="2"/>
  <c r="F2598" i="2"/>
  <c r="F2597" i="2"/>
  <c r="F2595" i="2"/>
  <c r="F2594" i="2"/>
  <c r="F2592" i="2"/>
  <c r="F2591" i="2"/>
  <c r="J3333" i="2" l="1"/>
  <c r="M3333" i="2"/>
  <c r="N3333" i="2" l="1"/>
  <c r="C1623" i="2"/>
  <c r="M1623" i="2"/>
  <c r="N1623" i="2" s="1"/>
  <c r="F3243" i="2" l="1"/>
  <c r="F3242" i="2"/>
  <c r="F3238" i="2"/>
  <c r="F3235" i="2"/>
  <c r="F3233" i="2"/>
  <c r="F3230" i="2"/>
  <c r="F3229" i="2"/>
  <c r="F3228" i="2"/>
  <c r="F3227" i="2"/>
  <c r="F3225" i="2"/>
  <c r="F3224" i="2"/>
  <c r="F3223" i="2"/>
  <c r="F3222" i="2"/>
  <c r="F3220" i="2"/>
  <c r="F3219" i="2"/>
  <c r="F3218" i="2"/>
  <c r="F3217" i="2"/>
  <c r="F3216" i="2"/>
  <c r="F3215" i="2"/>
  <c r="F3212" i="2"/>
  <c r="F3211" i="2"/>
  <c r="F3210" i="2"/>
  <c r="F3209" i="2"/>
  <c r="F3207" i="2"/>
  <c r="F3206" i="2"/>
  <c r="F3203" i="2"/>
  <c r="F3037" i="2"/>
  <c r="F3035" i="2"/>
  <c r="F3034" i="2"/>
  <c r="F3033" i="2"/>
  <c r="F3031" i="2"/>
  <c r="F3030" i="2"/>
  <c r="F3028" i="2"/>
  <c r="F3025" i="2"/>
  <c r="F2835" i="2"/>
  <c r="F2834" i="2"/>
  <c r="F2833" i="2"/>
  <c r="F2832" i="2"/>
  <c r="F2830" i="2"/>
  <c r="F2829" i="2"/>
  <c r="F2827" i="2"/>
  <c r="F2825" i="2"/>
  <c r="F2824" i="2"/>
  <c r="F2823" i="2"/>
  <c r="F2822" i="2"/>
  <c r="F2821" i="2"/>
  <c r="F2820" i="2"/>
  <c r="F2819" i="2"/>
  <c r="F2818" i="2"/>
  <c r="F2817" i="2"/>
  <c r="F2816" i="2"/>
  <c r="F2815" i="2"/>
  <c r="F2814" i="2"/>
  <c r="F2813" i="2"/>
  <c r="F2812" i="2"/>
  <c r="F2810" i="2"/>
  <c r="F2809" i="2"/>
  <c r="F2808" i="2"/>
  <c r="F2806" i="2"/>
  <c r="F2805" i="2"/>
  <c r="F2804" i="2"/>
  <c r="F2802" i="2"/>
  <c r="F2801" i="2"/>
  <c r="F2800" i="2"/>
  <c r="F2797" i="2"/>
  <c r="F2796" i="2"/>
  <c r="F2795" i="2"/>
  <c r="F2793" i="2"/>
  <c r="F2792" i="2"/>
  <c r="F2791" i="2"/>
  <c r="F2790" i="2"/>
  <c r="F2788" i="2"/>
  <c r="F2787" i="2"/>
  <c r="F2785" i="2"/>
  <c r="F2784" i="2"/>
  <c r="F2783" i="2"/>
  <c r="F2781" i="2"/>
  <c r="F2780" i="2"/>
  <c r="F2779" i="2"/>
  <c r="F2778" i="2"/>
  <c r="F2777" i="2"/>
  <c r="F2776" i="2"/>
  <c r="F2775" i="2"/>
  <c r="F2774" i="2"/>
  <c r="F2773" i="2"/>
  <c r="F2772" i="2"/>
  <c r="F2771" i="2"/>
  <c r="F2770" i="2"/>
  <c r="F2769" i="2"/>
  <c r="F2768" i="2"/>
  <c r="F2767" i="2"/>
  <c r="F2766" i="2"/>
  <c r="F2765" i="2"/>
  <c r="F2764" i="2"/>
  <c r="F2762" i="2"/>
  <c r="F2761" i="2"/>
  <c r="F2759" i="2"/>
  <c r="F2758" i="2"/>
  <c r="F2757" i="2"/>
  <c r="F2756" i="2"/>
  <c r="F2755" i="2"/>
  <c r="F2754" i="2"/>
  <c r="F2752" i="2"/>
  <c r="F2750" i="2"/>
  <c r="F2749" i="2"/>
  <c r="F2748" i="2"/>
  <c r="F2742" i="2"/>
  <c r="F2741" i="2"/>
  <c r="F2740" i="2"/>
  <c r="F2738" i="2"/>
  <c r="F2732" i="2"/>
  <c r="F2731" i="2"/>
  <c r="F2730" i="2"/>
  <c r="F2729" i="2"/>
  <c r="F2727" i="2"/>
  <c r="F2726" i="2"/>
  <c r="F2725" i="2"/>
  <c r="F2724" i="2"/>
  <c r="F2723" i="2"/>
  <c r="F2721" i="2"/>
  <c r="F2720" i="2"/>
  <c r="F2719" i="2"/>
  <c r="F2718" i="2"/>
  <c r="F2717" i="2"/>
  <c r="F2715" i="2"/>
  <c r="F2713" i="2"/>
  <c r="F2711" i="2"/>
  <c r="F2710" i="2"/>
  <c r="F2709" i="2"/>
  <c r="F2708" i="2"/>
  <c r="F2707" i="2"/>
  <c r="F2706" i="2"/>
  <c r="F2705" i="2"/>
  <c r="F2702" i="2"/>
  <c r="F2701" i="2"/>
  <c r="F2700" i="2"/>
  <c r="F2699" i="2"/>
  <c r="F2697" i="2"/>
  <c r="F2695" i="2"/>
  <c r="F2694" i="2"/>
  <c r="F2693" i="2"/>
  <c r="F2692" i="2"/>
  <c r="F2691" i="2"/>
  <c r="F2690" i="2"/>
  <c r="F2688" i="2"/>
  <c r="F2687" i="2"/>
  <c r="F2686" i="2"/>
  <c r="F2685" i="2"/>
  <c r="F2684" i="2"/>
  <c r="F2683" i="2"/>
  <c r="F2682" i="2"/>
  <c r="C2835" i="2"/>
  <c r="C2834" i="2"/>
  <c r="C2833" i="2"/>
  <c r="C2832" i="2"/>
  <c r="C2831" i="2"/>
  <c r="C2830" i="2"/>
  <c r="C2829" i="2"/>
  <c r="C2828" i="2"/>
  <c r="C2827" i="2"/>
  <c r="C2826" i="2"/>
  <c r="C2825" i="2"/>
  <c r="C2824" i="2"/>
  <c r="C2823" i="2"/>
  <c r="C2822" i="2"/>
  <c r="C2821" i="2"/>
  <c r="C2820" i="2"/>
  <c r="C2819" i="2"/>
  <c r="C2818" i="2"/>
  <c r="C2817" i="2"/>
  <c r="C2816" i="2"/>
  <c r="C2815" i="2"/>
  <c r="C2814" i="2"/>
  <c r="C2813" i="2"/>
  <c r="C2812" i="2"/>
  <c r="C2811" i="2"/>
  <c r="C2810" i="2"/>
  <c r="C2809" i="2"/>
  <c r="C2808" i="2"/>
  <c r="C2807" i="2"/>
  <c r="C2806" i="2"/>
  <c r="C2805" i="2"/>
  <c r="C2804" i="2"/>
  <c r="C2803" i="2"/>
  <c r="C2802" i="2"/>
  <c r="C2801" i="2"/>
  <c r="C2800" i="2"/>
  <c r="C2799" i="2"/>
  <c r="C2798" i="2"/>
  <c r="C2797" i="2"/>
  <c r="C2796" i="2"/>
  <c r="C2795" i="2"/>
  <c r="C2794" i="2"/>
  <c r="C2793" i="2"/>
  <c r="C2792" i="2"/>
  <c r="C2791" i="2"/>
  <c r="C2790" i="2"/>
  <c r="C2789" i="2"/>
  <c r="C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4" i="2"/>
  <c r="C2723" i="2"/>
  <c r="C2722" i="2"/>
  <c r="C2721" i="2"/>
  <c r="C2720" i="2"/>
  <c r="C2719" i="2"/>
  <c r="C2718" i="2"/>
  <c r="C2717" i="2"/>
  <c r="C2716" i="2"/>
  <c r="C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F2590" i="2"/>
  <c r="F2589" i="2"/>
  <c r="F2588" i="2"/>
  <c r="F2586" i="2"/>
  <c r="F2585" i="2"/>
  <c r="F2583" i="2"/>
  <c r="F2582" i="2"/>
  <c r="F2581" i="2"/>
  <c r="F2580" i="2"/>
  <c r="F2579" i="2"/>
  <c r="F2578" i="2"/>
  <c r="F2577" i="2"/>
  <c r="F2576" i="2"/>
  <c r="F2573" i="2"/>
  <c r="F2571" i="2"/>
  <c r="F2570" i="2"/>
  <c r="F2569" i="2"/>
  <c r="F2568" i="2"/>
  <c r="F2566" i="2"/>
  <c r="F2565" i="2"/>
  <c r="F2561" i="2"/>
  <c r="F2560" i="2"/>
  <c r="F2559" i="2"/>
  <c r="F2555" i="2"/>
  <c r="F2554" i="2"/>
  <c r="F2553" i="2"/>
  <c r="F2551" i="2"/>
  <c r="F2549" i="2"/>
  <c r="F2547" i="2"/>
  <c r="F2546" i="2"/>
  <c r="F2545" i="2"/>
  <c r="F2544" i="2"/>
  <c r="F2542" i="2"/>
  <c r="F2541" i="2"/>
  <c r="F2540" i="2"/>
  <c r="F2538" i="2"/>
  <c r="F2537" i="2"/>
  <c r="F2536" i="2"/>
  <c r="F2532" i="2"/>
  <c r="F2531" i="2"/>
  <c r="F2530" i="2"/>
  <c r="F2529" i="2"/>
  <c r="F2528" i="2"/>
  <c r="F2526" i="2"/>
  <c r="F2525" i="2"/>
  <c r="F2523" i="2"/>
  <c r="F2521" i="2"/>
  <c r="F2520" i="2"/>
  <c r="F2519" i="2"/>
  <c r="F2518" i="2"/>
  <c r="F2517" i="2"/>
  <c r="F2516" i="2"/>
  <c r="F2515" i="2"/>
  <c r="F2514" i="2"/>
  <c r="F2513" i="2"/>
  <c r="F2512" i="2"/>
  <c r="F2511" i="2"/>
  <c r="F2510" i="2"/>
  <c r="F2509" i="2"/>
  <c r="F2508" i="2"/>
  <c r="F2507" i="2"/>
  <c r="F2505" i="2"/>
  <c r="F2504" i="2"/>
  <c r="F2502" i="2"/>
  <c r="F2500" i="2"/>
  <c r="F2499" i="2"/>
  <c r="F2498" i="2"/>
  <c r="F2497" i="2"/>
  <c r="F2496" i="2"/>
  <c r="F2495" i="2"/>
  <c r="F2494" i="2"/>
  <c r="F2492" i="2"/>
  <c r="F2490" i="2"/>
  <c r="F2489" i="2"/>
  <c r="F2488" i="2"/>
  <c r="F2487" i="2"/>
  <c r="F2486" i="2"/>
  <c r="F2485" i="2"/>
  <c r="F2484" i="2"/>
  <c r="F2483" i="2"/>
  <c r="F2482" i="2"/>
  <c r="F2480" i="2"/>
  <c r="F2479" i="2"/>
  <c r="F2477" i="2"/>
  <c r="F2476" i="2"/>
  <c r="F2475" i="2"/>
  <c r="F2474" i="2"/>
  <c r="F2473" i="2"/>
  <c r="F2470" i="2"/>
  <c r="F2469" i="2"/>
  <c r="F2468" i="2"/>
  <c r="F2465" i="2"/>
  <c r="F2464" i="2"/>
  <c r="F2463" i="2"/>
  <c r="F2462" i="2"/>
  <c r="F2460" i="2"/>
  <c r="F2458" i="2"/>
  <c r="F2457" i="2"/>
  <c r="F2455" i="2"/>
  <c r="F2454" i="2"/>
  <c r="F2452" i="2"/>
  <c r="F2451" i="2"/>
  <c r="F2450" i="2"/>
  <c r="F2448" i="2"/>
  <c r="F2446" i="2"/>
  <c r="F2445" i="2"/>
  <c r="F2443" i="2"/>
  <c r="F2442" i="2"/>
  <c r="F2441" i="2"/>
  <c r="F2439" i="2"/>
  <c r="F2438" i="2"/>
  <c r="F2437" i="2"/>
  <c r="F2432" i="2"/>
  <c r="F2431" i="2"/>
  <c r="F2430" i="2"/>
  <c r="F2427" i="2"/>
  <c r="F2426" i="2"/>
  <c r="F2425" i="2"/>
  <c r="F2424" i="2"/>
  <c r="F2423" i="2"/>
  <c r="F2422" i="2"/>
  <c r="F2419" i="2"/>
  <c r="F2417" i="2"/>
  <c r="F2416" i="2"/>
  <c r="F2415" i="2"/>
  <c r="F2413" i="2"/>
  <c r="F2412" i="2"/>
  <c r="F2411" i="2"/>
  <c r="F2408" i="2"/>
  <c r="F2407" i="2"/>
  <c r="F2405" i="2"/>
  <c r="F2404" i="2"/>
  <c r="F2403" i="2"/>
  <c r="F2401" i="2"/>
  <c r="F2400" i="2"/>
  <c r="F2399" i="2"/>
  <c r="F2397" i="2"/>
  <c r="C2590" i="2"/>
  <c r="C2589" i="2"/>
  <c r="C2588" i="2"/>
  <c r="C2587" i="2"/>
  <c r="C2586" i="2"/>
  <c r="C2585" i="2"/>
  <c r="C2584" i="2"/>
  <c r="C2583" i="2"/>
  <c r="C2582" i="2"/>
  <c r="C2581" i="2"/>
  <c r="C2580" i="2"/>
  <c r="C2579" i="2"/>
  <c r="C2578" i="2"/>
  <c r="C2577" i="2"/>
  <c r="C2576" i="2"/>
  <c r="C2575" i="2"/>
  <c r="C2574" i="2"/>
  <c r="C2573" i="2"/>
  <c r="C2572" i="2"/>
  <c r="C2571" i="2"/>
  <c r="C2570" i="2"/>
  <c r="C2569" i="2"/>
  <c r="C2568" i="2"/>
  <c r="C2567" i="2"/>
  <c r="C2566" i="2"/>
  <c r="C2565" i="2"/>
  <c r="C2564" i="2"/>
  <c r="C2563" i="2"/>
  <c r="C2562" i="2"/>
  <c r="C2561" i="2"/>
  <c r="C2560" i="2"/>
  <c r="C2559" i="2"/>
  <c r="C2558" i="2"/>
  <c r="C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8" i="2"/>
  <c r="C2517" i="2"/>
  <c r="C2516"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7" i="2"/>
  <c r="C2486" i="2"/>
  <c r="C2485" i="2"/>
  <c r="C2484" i="2"/>
  <c r="C2483" i="2"/>
  <c r="C2482" i="2"/>
  <c r="C2481" i="2"/>
  <c r="C2480" i="2"/>
  <c r="C2479" i="2"/>
  <c r="C2478" i="2"/>
  <c r="C2477" i="2"/>
  <c r="C2476" i="2"/>
  <c r="C2475" i="2"/>
  <c r="C2474" i="2"/>
  <c r="C2473" i="2"/>
  <c r="C2472" i="2"/>
  <c r="C2471" i="2"/>
  <c r="C2470" i="2"/>
  <c r="C2469" i="2"/>
  <c r="C2468" i="2"/>
  <c r="C2467" i="2"/>
  <c r="C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F2319" i="2"/>
  <c r="F2318" i="2"/>
  <c r="F2316" i="2"/>
  <c r="F2315" i="2"/>
  <c r="F2314" i="2"/>
  <c r="F2313" i="2"/>
  <c r="F2312" i="2"/>
  <c r="F2311" i="2"/>
  <c r="F2310" i="2"/>
  <c r="F2309" i="2"/>
  <c r="F2308" i="2"/>
  <c r="F2307" i="2"/>
  <c r="F2306" i="2"/>
  <c r="F2304" i="2"/>
  <c r="F2303" i="2"/>
  <c r="F2302" i="2"/>
  <c r="F2301" i="2"/>
  <c r="F2300" i="2"/>
  <c r="F2299" i="2"/>
  <c r="F2298" i="2"/>
  <c r="F2297" i="2"/>
  <c r="F2296" i="2"/>
  <c r="F2295" i="2"/>
  <c r="F2294" i="2"/>
  <c r="F2293" i="2"/>
  <c r="F2292" i="2"/>
  <c r="F2291" i="2"/>
  <c r="F2290" i="2"/>
  <c r="F2289" i="2"/>
  <c r="F2288" i="2"/>
  <c r="F2287" i="2"/>
  <c r="F2285" i="2"/>
  <c r="F2284" i="2"/>
  <c r="F2283" i="2"/>
  <c r="F2282" i="2"/>
  <c r="F2281" i="2"/>
  <c r="F2280" i="2"/>
  <c r="F2279" i="2"/>
  <c r="F2278" i="2"/>
  <c r="F2277" i="2"/>
  <c r="F2276" i="2"/>
  <c r="F2275" i="2"/>
  <c r="F2274" i="2"/>
  <c r="F2273" i="2"/>
  <c r="F2272" i="2"/>
  <c r="F2271" i="2"/>
  <c r="F2270" i="2"/>
  <c r="F2269" i="2"/>
  <c r="F2268" i="2"/>
  <c r="F2267" i="2"/>
  <c r="F2266" i="2"/>
  <c r="F2264" i="2"/>
  <c r="F2263" i="2"/>
  <c r="F2262" i="2"/>
  <c r="F2261" i="2"/>
  <c r="F2260" i="2"/>
  <c r="F2259" i="2"/>
  <c r="F2258" i="2"/>
  <c r="F2257" i="2"/>
  <c r="F2256" i="2"/>
  <c r="F2255" i="2"/>
  <c r="F2254" i="2"/>
  <c r="F2253" i="2"/>
  <c r="F2252" i="2"/>
  <c r="F2251" i="2"/>
  <c r="F2250" i="2"/>
  <c r="F2246" i="2"/>
  <c r="F2245" i="2"/>
  <c r="F2244" i="2"/>
  <c r="F2243" i="2"/>
  <c r="F2242" i="2"/>
  <c r="F2241" i="2"/>
  <c r="F2240" i="2"/>
  <c r="F2239" i="2"/>
  <c r="F2238" i="2"/>
  <c r="F2237" i="2"/>
  <c r="F2236" i="2"/>
  <c r="F2235" i="2"/>
  <c r="F2234" i="2"/>
  <c r="F2233" i="2"/>
  <c r="F2232" i="2"/>
  <c r="F2231" i="2"/>
  <c r="F2230" i="2"/>
  <c r="F2229" i="2"/>
  <c r="F2228" i="2"/>
  <c r="F2224" i="2"/>
  <c r="F2222" i="2"/>
  <c r="F2221" i="2"/>
  <c r="F2220" i="2"/>
  <c r="F2219" i="2"/>
  <c r="F2217" i="2"/>
  <c r="F2216" i="2"/>
  <c r="F2215" i="2"/>
  <c r="F2214" i="2"/>
  <c r="F2212" i="2"/>
  <c r="F2211" i="2"/>
  <c r="F2210" i="2"/>
  <c r="F2209" i="2"/>
  <c r="F2208" i="2"/>
  <c r="F2207" i="2"/>
  <c r="F2206" i="2"/>
  <c r="F2205" i="2"/>
  <c r="F2204" i="2"/>
  <c r="F2203" i="2"/>
  <c r="F2202" i="2"/>
  <c r="F2201" i="2"/>
  <c r="F2200"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8" i="2"/>
  <c r="F2157" i="2"/>
  <c r="F2156" i="2"/>
  <c r="F2155" i="2"/>
  <c r="F2154" i="2"/>
  <c r="F2153" i="2"/>
  <c r="F2152" i="2"/>
  <c r="F2151" i="2"/>
  <c r="F2150" i="2"/>
  <c r="F2149" i="2"/>
  <c r="F2148" i="2"/>
  <c r="F2147" i="2"/>
  <c r="F2146" i="2"/>
  <c r="F2145" i="2"/>
  <c r="F2144" i="2"/>
  <c r="F2143" i="2"/>
  <c r="F2142" i="2"/>
  <c r="F2141" i="2"/>
  <c r="F2139" i="2"/>
  <c r="F2138" i="2"/>
  <c r="F2137" i="2"/>
  <c r="F2136" i="2"/>
  <c r="F2135" i="2"/>
  <c r="F2134" i="2"/>
  <c r="F2133" i="2"/>
  <c r="F2132" i="2"/>
  <c r="F2131" i="2"/>
  <c r="F2130" i="2"/>
  <c r="F2129" i="2"/>
  <c r="F2128" i="2"/>
  <c r="F2127" i="2"/>
  <c r="F2126" i="2"/>
  <c r="F2125" i="2"/>
  <c r="F2124" i="2"/>
  <c r="F2122" i="2"/>
  <c r="F2121" i="2"/>
  <c r="F2120" i="2"/>
  <c r="F2119" i="2"/>
  <c r="F2118" i="2"/>
  <c r="F2117" i="2"/>
  <c r="F2116" i="2"/>
  <c r="F2115" i="2"/>
  <c r="F2113" i="2"/>
  <c r="F2112" i="2"/>
  <c r="F2111" i="2"/>
  <c r="F2110" i="2"/>
  <c r="F2109" i="2"/>
  <c r="F2108" i="2"/>
  <c r="F2107" i="2"/>
  <c r="F2106" i="2"/>
  <c r="F2104" i="2"/>
  <c r="F2103" i="2"/>
  <c r="F2102" i="2"/>
  <c r="F2101" i="2"/>
  <c r="F2100" i="2"/>
  <c r="F2099" i="2"/>
  <c r="F2098" i="2"/>
  <c r="F2097" i="2"/>
  <c r="F2096" i="2"/>
  <c r="F2095" i="2"/>
  <c r="F2093" i="2"/>
  <c r="F2092" i="2"/>
  <c r="F2091" i="2"/>
  <c r="F2090" i="2"/>
  <c r="F2089" i="2"/>
  <c r="F2088" i="2"/>
  <c r="F2087" i="2"/>
  <c r="C2319" i="2"/>
  <c r="C2318" i="2"/>
  <c r="C2317" i="2"/>
  <c r="C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2130" i="2"/>
  <c r="C2129" i="2"/>
  <c r="C2128" i="2"/>
  <c r="C2127" i="2"/>
  <c r="C2126" i="2"/>
  <c r="C2125" i="2"/>
  <c r="C2124" i="2"/>
  <c r="C2123" i="2"/>
  <c r="C2122" i="2"/>
  <c r="C2121" i="2"/>
  <c r="C2120" i="2"/>
  <c r="C2119" i="2"/>
  <c r="C2118" i="2"/>
  <c r="C2117" i="2"/>
  <c r="C2116" i="2"/>
  <c r="C2115" i="2"/>
  <c r="C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F2075" i="2"/>
  <c r="F2074" i="2"/>
  <c r="F2073" i="2"/>
  <c r="F2072" i="2"/>
  <c r="F2071" i="2"/>
  <c r="F2070" i="2"/>
  <c r="F2069" i="2"/>
  <c r="F2068" i="2"/>
  <c r="F2065" i="2"/>
  <c r="F2064" i="2"/>
  <c r="F2063" i="2"/>
  <c r="F2062" i="2"/>
  <c r="F2061" i="2"/>
  <c r="F2060" i="2"/>
  <c r="F2058" i="2"/>
  <c r="F2057" i="2"/>
  <c r="F2056" i="2"/>
  <c r="F2054" i="2"/>
  <c r="F2053" i="2"/>
  <c r="F2052" i="2"/>
  <c r="F2051" i="2"/>
  <c r="F2050" i="2"/>
  <c r="F2048" i="2"/>
  <c r="F2047" i="2"/>
  <c r="F2046" i="2"/>
  <c r="F2045" i="2"/>
  <c r="F2044" i="2"/>
  <c r="F2043" i="2"/>
  <c r="F2041" i="2"/>
  <c r="F2040" i="2"/>
  <c r="F2039" i="2"/>
  <c r="F2038" i="2"/>
  <c r="F2037" i="2"/>
  <c r="F2035" i="2"/>
  <c r="F2034" i="2"/>
  <c r="F2033" i="2"/>
  <c r="F2013" i="2"/>
  <c r="F2012" i="2"/>
  <c r="F2011" i="2"/>
  <c r="F2010" i="2"/>
  <c r="F2007" i="2"/>
  <c r="F2005" i="2"/>
  <c r="F2004" i="2"/>
  <c r="F2003" i="2"/>
  <c r="F2002" i="2"/>
  <c r="F2001" i="2"/>
  <c r="F2000" i="2"/>
  <c r="F1999" i="2"/>
  <c r="F1998" i="2"/>
  <c r="C2016" i="2"/>
  <c r="C2015" i="2"/>
  <c r="C2014" i="2"/>
  <c r="C2013" i="2"/>
  <c r="C2012" i="2"/>
  <c r="C2011" i="2"/>
  <c r="C2010" i="2"/>
  <c r="C2009" i="2"/>
  <c r="C2008" i="2"/>
  <c r="C2007" i="2"/>
  <c r="C2006" i="2"/>
  <c r="C2005" i="2"/>
  <c r="C2004" i="2"/>
  <c r="C2003" i="2"/>
  <c r="C2002" i="2"/>
  <c r="C2001" i="2"/>
  <c r="C2000" i="2"/>
  <c r="C1999" i="2"/>
  <c r="C1998" i="2"/>
  <c r="C1997" i="2"/>
  <c r="F1573" i="2"/>
  <c r="F1571" i="2"/>
  <c r="F1570" i="2"/>
  <c r="F1569" i="2"/>
  <c r="F1568" i="2"/>
  <c r="F1567" i="2"/>
  <c r="F1566" i="2"/>
  <c r="F1901" i="2"/>
  <c r="F1900" i="2"/>
  <c r="F1899" i="2"/>
  <c r="F1897" i="2"/>
  <c r="F1896" i="2"/>
  <c r="F1895" i="2"/>
  <c r="F1893" i="2"/>
  <c r="F1890" i="2"/>
  <c r="F1889" i="2"/>
  <c r="F1888" i="2"/>
  <c r="F1887" i="2"/>
  <c r="F1886" i="2"/>
  <c r="F1885" i="2"/>
  <c r="F1883" i="2"/>
  <c r="F1882" i="2"/>
  <c r="F1878" i="2"/>
  <c r="F1877" i="2"/>
  <c r="F1876" i="2"/>
  <c r="F1875" i="2"/>
  <c r="F1874" i="2"/>
  <c r="F1873" i="2"/>
  <c r="F1871" i="2"/>
  <c r="F1870" i="2"/>
  <c r="F1869" i="2"/>
  <c r="F1868" i="2"/>
  <c r="F1864" i="2"/>
  <c r="F1863" i="2"/>
  <c r="F1862" i="2"/>
  <c r="F1860" i="2"/>
  <c r="F1859" i="2"/>
  <c r="F1858" i="2"/>
  <c r="F1854" i="2"/>
  <c r="F1853" i="2"/>
  <c r="F1852" i="2"/>
  <c r="F1851" i="2"/>
  <c r="F1850" i="2"/>
  <c r="F1849" i="2"/>
  <c r="F1847" i="2"/>
  <c r="F1846" i="2"/>
  <c r="F1845" i="2"/>
  <c r="F1844" i="2"/>
  <c r="F1843" i="2"/>
  <c r="F1841"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574" i="2"/>
  <c r="C1573" i="2"/>
  <c r="C1572" i="2"/>
  <c r="C1571" i="2"/>
  <c r="C1570" i="2"/>
  <c r="C1569" i="2"/>
  <c r="C1568" i="2"/>
  <c r="C1567" i="2"/>
  <c r="C1566" i="2"/>
  <c r="F1624" i="2" l="1"/>
  <c r="F1622" i="2"/>
  <c r="C1624" i="2"/>
  <c r="C1622" i="2"/>
  <c r="F1247" i="2"/>
  <c r="F1245" i="2"/>
  <c r="C1247" i="2"/>
  <c r="C1246" i="2"/>
  <c r="C1245" i="2"/>
  <c r="F1223" i="2"/>
  <c r="F100" i="2"/>
  <c r="F99" i="2"/>
  <c r="F98" i="2"/>
  <c r="F97" i="2"/>
  <c r="F96" i="2"/>
  <c r="F94" i="2"/>
  <c r="F93" i="2"/>
  <c r="F70" i="2"/>
  <c r="F69" i="2"/>
  <c r="F68" i="2"/>
  <c r="F65" i="2"/>
  <c r="C70" i="2"/>
  <c r="C69" i="2"/>
  <c r="C68" i="2"/>
  <c r="C67" i="2"/>
  <c r="C66" i="2"/>
  <c r="C65" i="2"/>
  <c r="J3331" i="2" l="1"/>
  <c r="F3331" i="2"/>
  <c r="F3329" i="2"/>
  <c r="F3328" i="2"/>
  <c r="F3327" i="2"/>
  <c r="M3327" i="2"/>
  <c r="M3328" i="2"/>
  <c r="M3329" i="2"/>
  <c r="M3330" i="2"/>
  <c r="F1763" i="2" l="1"/>
  <c r="F1761" i="2"/>
  <c r="F1760" i="2"/>
  <c r="F1759" i="2"/>
  <c r="F1758" i="2"/>
  <c r="F1757" i="2"/>
  <c r="F1755" i="2"/>
  <c r="F1754" i="2"/>
  <c r="F1753" i="2"/>
  <c r="F1752" i="2"/>
  <c r="F1751" i="2"/>
  <c r="F1750" i="2"/>
  <c r="F1748" i="2"/>
  <c r="F1747" i="2"/>
  <c r="F1744" i="2"/>
  <c r="F1743" i="2"/>
  <c r="F1740" i="2"/>
  <c r="F1739" i="2"/>
  <c r="F1736" i="2"/>
  <c r="F1735" i="2"/>
  <c r="F1734" i="2"/>
  <c r="F1733" i="2"/>
  <c r="F1731" i="2"/>
  <c r="F1730" i="2"/>
  <c r="F1729" i="2"/>
  <c r="F1728" i="2"/>
  <c r="F1727" i="2"/>
  <c r="F1725" i="2"/>
  <c r="F1724" i="2"/>
  <c r="F1723" i="2"/>
  <c r="F1722" i="2"/>
  <c r="F1721" i="2"/>
  <c r="F1720" i="2"/>
  <c r="F1719" i="2"/>
  <c r="F1718" i="2"/>
  <c r="J1716" i="2"/>
  <c r="F1716" i="2"/>
  <c r="F1715" i="2"/>
  <c r="F1711" i="2"/>
  <c r="F1710" i="2"/>
  <c r="F1708" i="2"/>
  <c r="F1707" i="2"/>
  <c r="F1705" i="2"/>
  <c r="F1704" i="2"/>
  <c r="F1703" i="2"/>
  <c r="F1700" i="2"/>
  <c r="F1698" i="2"/>
  <c r="F1696" i="2"/>
  <c r="F1694" i="2"/>
  <c r="F1693" i="2"/>
  <c r="F1689" i="2"/>
  <c r="F1688" i="2"/>
  <c r="F1687" i="2"/>
  <c r="F1686" i="2"/>
  <c r="F1684" i="2"/>
  <c r="F1683" i="2"/>
  <c r="F1682" i="2"/>
  <c r="F1680" i="2"/>
  <c r="F1679" i="2"/>
  <c r="F1678" i="2"/>
  <c r="F1674" i="2"/>
  <c r="F1671"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M3441" i="2" l="1"/>
  <c r="M3442" i="2"/>
  <c r="M3443" i="2"/>
  <c r="N3443" i="2" s="1"/>
  <c r="M3444" i="2"/>
  <c r="N3444" i="2" s="1"/>
  <c r="M3445" i="2"/>
  <c r="N3445" i="2" s="1"/>
  <c r="M3446" i="2"/>
  <c r="N3446" i="2" s="1"/>
  <c r="M3447" i="2"/>
  <c r="N3447" i="2" s="1"/>
  <c r="M3448" i="2"/>
  <c r="N3448" i="2" s="1"/>
  <c r="M3449" i="2"/>
  <c r="N3449" i="2" s="1"/>
  <c r="M3450" i="2"/>
  <c r="N3450" i="2" s="1"/>
  <c r="M3451" i="2"/>
  <c r="N3451" i="2" s="1"/>
  <c r="D3448" i="2" l="1"/>
  <c r="N3442" i="2"/>
  <c r="D3444" i="2"/>
  <c r="D3441" i="2"/>
  <c r="D3449" i="2"/>
  <c r="D3445" i="2"/>
  <c r="D3450" i="2"/>
  <c r="D3446" i="2"/>
  <c r="D3442" i="2"/>
  <c r="D3451" i="2"/>
  <c r="D3447" i="2"/>
  <c r="D3443" i="2"/>
  <c r="N3441" i="2"/>
  <c r="F3416" i="2" l="1"/>
  <c r="J3415" i="2"/>
  <c r="F3415" i="2"/>
  <c r="J3413" i="2"/>
  <c r="F3413" i="2"/>
  <c r="F3412" i="2"/>
  <c r="J3410" i="2"/>
  <c r="F3410" i="2"/>
  <c r="J3409" i="2"/>
  <c r="F3409" i="2"/>
  <c r="J3408" i="2"/>
  <c r="J3407" i="2"/>
  <c r="F3407" i="2"/>
  <c r="J3406" i="2"/>
  <c r="F3406" i="2"/>
  <c r="J3405" i="2"/>
  <c r="F3405" i="2"/>
  <c r="F3404" i="2"/>
  <c r="F3403" i="2"/>
  <c r="F3401" i="2"/>
  <c r="F3400" i="2"/>
  <c r="F3399" i="2"/>
  <c r="F3398" i="2"/>
  <c r="F3397" i="2"/>
  <c r="F3396" i="2"/>
  <c r="F3395" i="2"/>
  <c r="F3393" i="2"/>
  <c r="F3392" i="2"/>
  <c r="J3391" i="2"/>
  <c r="F3389" i="2"/>
  <c r="F3386" i="2"/>
  <c r="F3385" i="2"/>
  <c r="F3384" i="2"/>
  <c r="F3383" i="2"/>
  <c r="F3382" i="2"/>
  <c r="F3381" i="2"/>
  <c r="F3380" i="2"/>
  <c r="F3379" i="2"/>
  <c r="F3378" i="2"/>
  <c r="F3377" i="2"/>
  <c r="F3376" i="2"/>
  <c r="F3375" i="2"/>
  <c r="F3374" i="2"/>
  <c r="F3373" i="2"/>
  <c r="F3372" i="2"/>
  <c r="F3371" i="2"/>
  <c r="F3368" i="2"/>
  <c r="F3367" i="2"/>
  <c r="F3364" i="2"/>
  <c r="J3363" i="2"/>
  <c r="F3363" i="2"/>
  <c r="F3361" i="2"/>
  <c r="F3360" i="2"/>
  <c r="F3359" i="2"/>
  <c r="F3358" i="2"/>
  <c r="J3357" i="2"/>
  <c r="F3357" i="2"/>
  <c r="J3356" i="2"/>
  <c r="F3356" i="2"/>
  <c r="F3355" i="2"/>
  <c r="F3353" i="2"/>
  <c r="F3352" i="2"/>
  <c r="F3351" i="2"/>
  <c r="F3349" i="2"/>
  <c r="F3348" i="2"/>
  <c r="F3347" i="2"/>
  <c r="F3346" i="2"/>
  <c r="F3343" i="2"/>
  <c r="F3341" i="2"/>
  <c r="F3340" i="2"/>
  <c r="F3339" i="2"/>
  <c r="J3338" i="2"/>
  <c r="F3338" i="2"/>
  <c r="F3337" i="2"/>
  <c r="F3336" i="2"/>
  <c r="F3298" i="2" l="1"/>
  <c r="F3297" i="2"/>
  <c r="F3296" i="2"/>
  <c r="F3294" i="2"/>
  <c r="F3293" i="2"/>
  <c r="F3292" i="2"/>
  <c r="F3290" i="2"/>
  <c r="F3289" i="2"/>
  <c r="J3288" i="2"/>
  <c r="J3286" i="2"/>
  <c r="F3286" i="2"/>
  <c r="F3285" i="2"/>
  <c r="F3284" i="2"/>
  <c r="J3283" i="2"/>
  <c r="J3282" i="2"/>
  <c r="J3281" i="2"/>
  <c r="F3279" i="2"/>
  <c r="F3278" i="2"/>
  <c r="F3277" i="2"/>
  <c r="F3275" i="2"/>
  <c r="F3273" i="2"/>
  <c r="F3272" i="2"/>
  <c r="J3271" i="2"/>
  <c r="F3271" i="2"/>
  <c r="F3267" i="2"/>
  <c r="J3266" i="2"/>
  <c r="F3266" i="2"/>
  <c r="F3265" i="2"/>
  <c r="F3264" i="2"/>
  <c r="F3263" i="2"/>
  <c r="F3262" i="2"/>
  <c r="F3260" i="2"/>
  <c r="J3259" i="2"/>
  <c r="F3259" i="2"/>
  <c r="F3254" i="2"/>
  <c r="F3253" i="2"/>
  <c r="F3252" i="2"/>
  <c r="J3251" i="2"/>
  <c r="F3251" i="2"/>
  <c r="J3250" i="2"/>
  <c r="F3250" i="2"/>
  <c r="F3249" i="2"/>
  <c r="F3248" i="2"/>
  <c r="F3247" i="2"/>
  <c r="F3245" i="2"/>
  <c r="F3244" i="2"/>
  <c r="C3299" i="2"/>
  <c r="C3298" i="2"/>
  <c r="C3297" i="2"/>
  <c r="C3296" i="2"/>
  <c r="C3295" i="2"/>
  <c r="C3294" i="2"/>
  <c r="C3293" i="2"/>
  <c r="C3292" i="2"/>
  <c r="C3291" i="2"/>
  <c r="C3290" i="2"/>
  <c r="C3289" i="2"/>
  <c r="C3288" i="2"/>
  <c r="C3287" i="2"/>
  <c r="C3286" i="2"/>
  <c r="C3285" i="2"/>
  <c r="C3284" i="2"/>
  <c r="C3283" i="2"/>
  <c r="C3282" i="2"/>
  <c r="C3281" i="2"/>
  <c r="C3280" i="2"/>
  <c r="C3279" i="2"/>
  <c r="C3278" i="2"/>
  <c r="C3277" i="2"/>
  <c r="C3276" i="2"/>
  <c r="C3275" i="2"/>
  <c r="C3274" i="2"/>
  <c r="C3273" i="2"/>
  <c r="C3272" i="2"/>
  <c r="C3271" i="2"/>
  <c r="C3270" i="2"/>
  <c r="C3269" i="2"/>
  <c r="C3268" i="2"/>
  <c r="C3267" i="2"/>
  <c r="C3266" i="2"/>
  <c r="C3265" i="2"/>
  <c r="C3264" i="2"/>
  <c r="C3263" i="2"/>
  <c r="C3262" i="2"/>
  <c r="C3261" i="2"/>
  <c r="C3260" i="2"/>
  <c r="C3259" i="2"/>
  <c r="C3258" i="2"/>
  <c r="C3257" i="2"/>
  <c r="C3256" i="2"/>
  <c r="C3255" i="2"/>
  <c r="C3254" i="2"/>
  <c r="C3253" i="2"/>
  <c r="C3252" i="2"/>
  <c r="C3251" i="2"/>
  <c r="C3250" i="2"/>
  <c r="C3249" i="2"/>
  <c r="C3248" i="2"/>
  <c r="C3247" i="2"/>
  <c r="C3246" i="2"/>
  <c r="C3245" i="2"/>
  <c r="C3244" i="2"/>
  <c r="F1968" i="2" l="1"/>
  <c r="F1967" i="2"/>
  <c r="F1964" i="2"/>
  <c r="F1963" i="2"/>
  <c r="F1961" i="2"/>
  <c r="F1960" i="2"/>
  <c r="F1958" i="2"/>
  <c r="F1957" i="2"/>
  <c r="F1956" i="2"/>
  <c r="F1953" i="2"/>
  <c r="F1952" i="2"/>
  <c r="F1950" i="2"/>
  <c r="F1949" i="2"/>
  <c r="F1947" i="2"/>
  <c r="F1945" i="2"/>
  <c r="F1944" i="2"/>
  <c r="F1943" i="2"/>
  <c r="F1941" i="2"/>
  <c r="F1940" i="2"/>
  <c r="J1939" i="2"/>
  <c r="F1939" i="2"/>
  <c r="F1938" i="2"/>
  <c r="F1937" i="2"/>
  <c r="F1935" i="2"/>
  <c r="F1934" i="2"/>
  <c r="F1933" i="2"/>
  <c r="F1932" i="2"/>
  <c r="F1930" i="2"/>
  <c r="F1929" i="2"/>
  <c r="F1928" i="2"/>
  <c r="F1927" i="2"/>
  <c r="F1925" i="2"/>
  <c r="F1923" i="2"/>
  <c r="F1921" i="2"/>
  <c r="F1920" i="2"/>
  <c r="F1919" i="2"/>
  <c r="F1918" i="2"/>
  <c r="F1915" i="2"/>
  <c r="F1914" i="2"/>
  <c r="F1913" i="2"/>
  <c r="F1912" i="2"/>
  <c r="F1911" i="2"/>
  <c r="F1909" i="2"/>
  <c r="F1908" i="2"/>
  <c r="F1906" i="2"/>
  <c r="F1905" i="2"/>
  <c r="F1904" i="2"/>
  <c r="F1903" i="2"/>
  <c r="F1902" i="2"/>
  <c r="D3452" i="2" l="1"/>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J1618" i="2" l="1"/>
  <c r="F1618" i="2"/>
  <c r="F1616" i="2"/>
  <c r="F1614" i="2"/>
  <c r="C1621" i="2"/>
  <c r="C1619" i="2"/>
  <c r="C1618" i="2"/>
  <c r="C1617" i="2"/>
  <c r="C1616" i="2"/>
  <c r="C1615" i="2"/>
  <c r="C1614" i="2"/>
  <c r="F988" i="2" l="1"/>
  <c r="J987" i="2"/>
  <c r="F986" i="2"/>
  <c r="F985" i="2"/>
  <c r="F984" i="2"/>
  <c r="J983" i="2"/>
  <c r="F983" i="2"/>
  <c r="F982" i="2"/>
  <c r="F981" i="2"/>
  <c r="J980" i="2"/>
  <c r="F980" i="2"/>
  <c r="F979" i="2"/>
  <c r="F978" i="2"/>
  <c r="C988" i="2"/>
  <c r="C987" i="2"/>
  <c r="C986" i="2"/>
  <c r="C985" i="2"/>
  <c r="C984" i="2"/>
  <c r="C983" i="2"/>
  <c r="C982" i="2"/>
  <c r="C981" i="2"/>
  <c r="C980" i="2"/>
  <c r="C979" i="2"/>
  <c r="C978" i="2"/>
  <c r="F620" i="2" l="1"/>
  <c r="F619" i="2"/>
  <c r="F618" i="2"/>
  <c r="F617" i="2"/>
  <c r="F616" i="2"/>
  <c r="F615" i="2"/>
  <c r="F614" i="2"/>
  <c r="F613" i="2"/>
  <c r="F612" i="2"/>
  <c r="F611" i="2"/>
  <c r="F610" i="2"/>
  <c r="F608" i="2"/>
  <c r="F606" i="2"/>
  <c r="M195" i="2" l="1"/>
  <c r="N195" i="2" s="1"/>
  <c r="M196" i="2"/>
  <c r="N196" i="2" s="1"/>
  <c r="M194" i="2"/>
  <c r="M197" i="2"/>
  <c r="N197" i="2" s="1"/>
  <c r="M198" i="2"/>
  <c r="N198" i="2" s="1"/>
  <c r="M199" i="2"/>
  <c r="N199" i="2" s="1"/>
  <c r="M200" i="2"/>
  <c r="N200" i="2" s="1"/>
  <c r="M201" i="2"/>
  <c r="N201" i="2" s="1"/>
  <c r="M202" i="2"/>
  <c r="N202" i="2" s="1"/>
  <c r="M203" i="2"/>
  <c r="N203" i="2" s="1"/>
  <c r="M204" i="2"/>
  <c r="N204" i="2" s="1"/>
  <c r="M205" i="2"/>
  <c r="N205" i="2" s="1"/>
  <c r="M206" i="2"/>
  <c r="N206" i="2" s="1"/>
  <c r="M207" i="2"/>
  <c r="N207" i="2" s="1"/>
  <c r="M208" i="2"/>
  <c r="N208" i="2" s="1"/>
  <c r="M209" i="2"/>
  <c r="N209" i="2" s="1"/>
  <c r="M210" i="2"/>
  <c r="N210" i="2" s="1"/>
  <c r="M211" i="2"/>
  <c r="N211" i="2" s="1"/>
  <c r="M212" i="2"/>
  <c r="N212" i="2" s="1"/>
  <c r="M213" i="2"/>
  <c r="N213" i="2" s="1"/>
  <c r="M214" i="2"/>
  <c r="N214" i="2" s="1"/>
  <c r="M215" i="2"/>
  <c r="N215" i="2" s="1"/>
  <c r="M216" i="2"/>
  <c r="N216" i="2" s="1"/>
  <c r="M217" i="2"/>
  <c r="N217" i="2" s="1"/>
  <c r="M218" i="2"/>
  <c r="N218" i="2" s="1"/>
  <c r="M219" i="2"/>
  <c r="N219" i="2" s="1"/>
  <c r="M220" i="2"/>
  <c r="N220" i="2" s="1"/>
  <c r="M221" i="2"/>
  <c r="N221" i="2" s="1"/>
  <c r="M222" i="2"/>
  <c r="N222" i="2" s="1"/>
  <c r="M223" i="2"/>
  <c r="N223" i="2" s="1"/>
  <c r="M224" i="2"/>
  <c r="N224" i="2" s="1"/>
  <c r="M225" i="2"/>
  <c r="N225" i="2" s="1"/>
  <c r="M226" i="2"/>
  <c r="N226" i="2" s="1"/>
  <c r="M227" i="2"/>
  <c r="N227" i="2" s="1"/>
  <c r="M228" i="2"/>
  <c r="N228" i="2" s="1"/>
  <c r="M229" i="2"/>
  <c r="N229" i="2" s="1"/>
  <c r="M230" i="2"/>
  <c r="N230" i="2" s="1"/>
  <c r="M231" i="2"/>
  <c r="N231" i="2" s="1"/>
  <c r="M232" i="2"/>
  <c r="N232" i="2" s="1"/>
  <c r="M233" i="2"/>
  <c r="N233" i="2" s="1"/>
  <c r="M234" i="2"/>
  <c r="N234" i="2" s="1"/>
  <c r="M235" i="2"/>
  <c r="N235" i="2" s="1"/>
  <c r="M236" i="2"/>
  <c r="N236" i="2" s="1"/>
  <c r="M237" i="2"/>
  <c r="N237" i="2" s="1"/>
  <c r="M238" i="2"/>
  <c r="N238" i="2" s="1"/>
  <c r="M239" i="2"/>
  <c r="N239" i="2" s="1"/>
  <c r="M240" i="2"/>
  <c r="N240" i="2" s="1"/>
  <c r="M241" i="2"/>
  <c r="N241" i="2" s="1"/>
  <c r="M242" i="2"/>
  <c r="N242" i="2" s="1"/>
  <c r="M243" i="2"/>
  <c r="N243" i="2" s="1"/>
  <c r="M244" i="2"/>
  <c r="N244" i="2" s="1"/>
  <c r="M245" i="2"/>
  <c r="N245" i="2" s="1"/>
  <c r="M246" i="2"/>
  <c r="N246" i="2" s="1"/>
  <c r="M247" i="2"/>
  <c r="N247" i="2" s="1"/>
  <c r="M248" i="2"/>
  <c r="N248" i="2" s="1"/>
  <c r="M249" i="2"/>
  <c r="N249" i="2" s="1"/>
  <c r="M250" i="2"/>
  <c r="N250" i="2" s="1"/>
  <c r="M251" i="2"/>
  <c r="N251" i="2" s="1"/>
  <c r="M252" i="2"/>
  <c r="N252" i="2" s="1"/>
  <c r="M253" i="2"/>
  <c r="N253" i="2" s="1"/>
  <c r="M254" i="2"/>
  <c r="N254" i="2" s="1"/>
  <c r="M255" i="2"/>
  <c r="N255" i="2" s="1"/>
  <c r="M256" i="2"/>
  <c r="N256" i="2" s="1"/>
  <c r="M257" i="2"/>
  <c r="N257" i="2" s="1"/>
  <c r="M258" i="2"/>
  <c r="N258" i="2" s="1"/>
  <c r="M259" i="2"/>
  <c r="N259" i="2" s="1"/>
  <c r="M260" i="2"/>
  <c r="N260" i="2" s="1"/>
  <c r="M261" i="2"/>
  <c r="N261" i="2" s="1"/>
  <c r="M262" i="2"/>
  <c r="N262"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M279" i="2"/>
  <c r="N279" i="2" s="1"/>
  <c r="M280" i="2"/>
  <c r="N280" i="2" s="1"/>
  <c r="M281" i="2"/>
  <c r="N281" i="2" s="1"/>
  <c r="M282" i="2"/>
  <c r="N282" i="2" s="1"/>
  <c r="M283" i="2"/>
  <c r="N283" i="2" s="1"/>
  <c r="M284" i="2"/>
  <c r="N284" i="2" s="1"/>
  <c r="M285" i="2"/>
  <c r="N285" i="2" s="1"/>
  <c r="M286" i="2"/>
  <c r="N286" i="2" s="1"/>
  <c r="M287" i="2"/>
  <c r="N287" i="2" s="1"/>
  <c r="M288" i="2"/>
  <c r="N288" i="2" s="1"/>
  <c r="M289" i="2"/>
  <c r="N289" i="2" s="1"/>
  <c r="M290" i="2"/>
  <c r="N290" i="2" s="1"/>
  <c r="M291" i="2"/>
  <c r="N291" i="2" s="1"/>
  <c r="M292" i="2"/>
  <c r="N292" i="2" s="1"/>
  <c r="M293" i="2"/>
  <c r="N293" i="2" s="1"/>
  <c r="M294" i="2"/>
  <c r="N294" i="2" s="1"/>
  <c r="M295" i="2"/>
  <c r="N295" i="2" s="1"/>
  <c r="M296" i="2"/>
  <c r="N296" i="2" s="1"/>
  <c r="M297" i="2"/>
  <c r="N297" i="2" s="1"/>
  <c r="M298" i="2"/>
  <c r="N298" i="2" s="1"/>
  <c r="M299" i="2"/>
  <c r="N299" i="2" s="1"/>
  <c r="M300" i="2"/>
  <c r="N300" i="2" s="1"/>
  <c r="M301" i="2"/>
  <c r="N301" i="2" s="1"/>
  <c r="M302" i="2"/>
  <c r="N302" i="2" s="1"/>
  <c r="M303" i="2"/>
  <c r="N303" i="2" s="1"/>
  <c r="M304" i="2"/>
  <c r="N304" i="2" s="1"/>
  <c r="M305" i="2"/>
  <c r="N305" i="2" s="1"/>
  <c r="M306" i="2"/>
  <c r="N306" i="2" s="1"/>
  <c r="M307" i="2"/>
  <c r="N307" i="2" s="1"/>
  <c r="M308" i="2"/>
  <c r="N308" i="2" s="1"/>
  <c r="M309" i="2"/>
  <c r="N309" i="2" s="1"/>
  <c r="M310" i="2"/>
  <c r="N310" i="2" s="1"/>
  <c r="M311" i="2"/>
  <c r="N311" i="2" s="1"/>
  <c r="M312" i="2"/>
  <c r="N312" i="2" s="1"/>
  <c r="M313" i="2"/>
  <c r="N313"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28" i="2"/>
  <c r="N328" i="2" s="1"/>
  <c r="M329" i="2"/>
  <c r="N329" i="2" s="1"/>
  <c r="M330" i="2"/>
  <c r="N330" i="2" s="1"/>
  <c r="M331" i="2"/>
  <c r="N331" i="2" s="1"/>
  <c r="M332" i="2"/>
  <c r="N332" i="2" s="1"/>
  <c r="M333" i="2"/>
  <c r="N333" i="2" s="1"/>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55" i="2"/>
  <c r="N355" i="2" s="1"/>
  <c r="M356" i="2"/>
  <c r="N356" i="2" s="1"/>
  <c r="M357" i="2"/>
  <c r="N357" i="2" s="1"/>
  <c r="M358" i="2"/>
  <c r="N358" i="2" s="1"/>
  <c r="M359" i="2"/>
  <c r="N359" i="2" s="1"/>
  <c r="M360" i="2"/>
  <c r="N360" i="2" s="1"/>
  <c r="M361" i="2"/>
  <c r="N361" i="2" s="1"/>
  <c r="M362" i="2"/>
  <c r="N362" i="2" s="1"/>
  <c r="M363" i="2"/>
  <c r="N363" i="2" s="1"/>
  <c r="M364" i="2"/>
  <c r="N364" i="2" s="1"/>
  <c r="M365" i="2"/>
  <c r="N365" i="2" s="1"/>
  <c r="M366" i="2"/>
  <c r="N366" i="2" s="1"/>
  <c r="M367" i="2"/>
  <c r="N367" i="2" s="1"/>
  <c r="M368" i="2"/>
  <c r="N368" i="2" s="1"/>
  <c r="M369" i="2"/>
  <c r="N369" i="2" s="1"/>
  <c r="M370" i="2"/>
  <c r="N370" i="2" s="1"/>
  <c r="M371" i="2"/>
  <c r="N371" i="2" s="1"/>
  <c r="M372" i="2"/>
  <c r="N372" i="2" s="1"/>
  <c r="M373" i="2"/>
  <c r="N373" i="2" s="1"/>
  <c r="M374" i="2"/>
  <c r="N374" i="2" s="1"/>
  <c r="M375" i="2"/>
  <c r="N375" i="2" s="1"/>
  <c r="M376" i="2"/>
  <c r="N376" i="2" s="1"/>
  <c r="M377" i="2"/>
  <c r="N377" i="2" s="1"/>
  <c r="M378" i="2"/>
  <c r="N378" i="2" s="1"/>
  <c r="M379" i="2"/>
  <c r="N379" i="2" s="1"/>
  <c r="M380" i="2"/>
  <c r="N380" i="2" s="1"/>
  <c r="M381" i="2"/>
  <c r="N381" i="2" s="1"/>
  <c r="M382" i="2"/>
  <c r="N382" i="2" s="1"/>
  <c r="M383" i="2"/>
  <c r="N383" i="2" s="1"/>
  <c r="M384" i="2"/>
  <c r="N384" i="2" s="1"/>
  <c r="M385" i="2"/>
  <c r="N385" i="2" s="1"/>
  <c r="M386" i="2"/>
  <c r="N386" i="2" s="1"/>
  <c r="M387" i="2"/>
  <c r="N387" i="2" s="1"/>
  <c r="M388" i="2"/>
  <c r="N388" i="2" s="1"/>
  <c r="M389" i="2"/>
  <c r="N389" i="2" s="1"/>
  <c r="M390" i="2"/>
  <c r="N390" i="2" s="1"/>
  <c r="M391" i="2"/>
  <c r="N391" i="2" s="1"/>
  <c r="M392" i="2"/>
  <c r="N392" i="2" s="1"/>
  <c r="M393" i="2"/>
  <c r="N393" i="2" s="1"/>
  <c r="M394" i="2"/>
  <c r="N394" i="2" s="1"/>
  <c r="M395" i="2"/>
  <c r="N395" i="2" s="1"/>
  <c r="M396" i="2"/>
  <c r="N396" i="2" s="1"/>
  <c r="M397" i="2"/>
  <c r="N397" i="2" s="1"/>
  <c r="M398" i="2"/>
  <c r="N398" i="2" s="1"/>
  <c r="M399" i="2"/>
  <c r="N399" i="2" s="1"/>
  <c r="M400" i="2"/>
  <c r="N400" i="2" s="1"/>
  <c r="M401" i="2"/>
  <c r="N401" i="2" s="1"/>
  <c r="M402" i="2"/>
  <c r="N402" i="2" s="1"/>
  <c r="M403" i="2"/>
  <c r="N403" i="2" s="1"/>
  <c r="M404" i="2"/>
  <c r="N404" i="2" s="1"/>
  <c r="M405" i="2"/>
  <c r="N405" i="2" s="1"/>
  <c r="M406" i="2"/>
  <c r="N406" i="2" s="1"/>
  <c r="M407" i="2"/>
  <c r="N407" i="2" s="1"/>
  <c r="M408" i="2"/>
  <c r="N408" i="2" s="1"/>
  <c r="M409" i="2"/>
  <c r="N409" i="2" s="1"/>
  <c r="M410" i="2"/>
  <c r="N410" i="2" s="1"/>
  <c r="M411" i="2"/>
  <c r="N411" i="2" s="1"/>
  <c r="M412" i="2"/>
  <c r="N412" i="2" s="1"/>
  <c r="M413" i="2"/>
  <c r="N413" i="2" s="1"/>
  <c r="M414" i="2"/>
  <c r="N414" i="2" s="1"/>
  <c r="M415" i="2"/>
  <c r="N415" i="2" s="1"/>
  <c r="M416" i="2"/>
  <c r="N416" i="2" s="1"/>
  <c r="M417" i="2"/>
  <c r="N417" i="2" s="1"/>
  <c r="M418" i="2"/>
  <c r="N418" i="2" s="1"/>
  <c r="M419" i="2"/>
  <c r="N419" i="2" s="1"/>
  <c r="M420" i="2"/>
  <c r="N420" i="2" s="1"/>
  <c r="M421" i="2"/>
  <c r="N421" i="2" s="1"/>
  <c r="M422" i="2"/>
  <c r="N422" i="2" s="1"/>
  <c r="M423" i="2"/>
  <c r="N423" i="2" s="1"/>
  <c r="M424" i="2"/>
  <c r="N424" i="2" s="1"/>
  <c r="M425" i="2"/>
  <c r="N425" i="2" s="1"/>
  <c r="M426" i="2"/>
  <c r="N426" i="2" s="1"/>
  <c r="M427" i="2"/>
  <c r="N427" i="2" s="1"/>
  <c r="M428" i="2"/>
  <c r="N428" i="2" s="1"/>
  <c r="M429" i="2"/>
  <c r="N429" i="2" s="1"/>
  <c r="M430" i="2"/>
  <c r="N430" i="2" s="1"/>
  <c r="M431" i="2"/>
  <c r="N431" i="2" s="1"/>
  <c r="M432" i="2"/>
  <c r="N432" i="2" s="1"/>
  <c r="M433" i="2"/>
  <c r="N433" i="2" s="1"/>
  <c r="M434" i="2"/>
  <c r="N434" i="2" s="1"/>
  <c r="M435" i="2"/>
  <c r="N435" i="2" s="1"/>
  <c r="M436" i="2"/>
  <c r="N436" i="2" s="1"/>
  <c r="M437" i="2"/>
  <c r="N437" i="2" s="1"/>
  <c r="M438" i="2"/>
  <c r="N438" i="2" s="1"/>
  <c r="M439" i="2"/>
  <c r="N439" i="2" s="1"/>
  <c r="M440" i="2"/>
  <c r="N440" i="2" s="1"/>
  <c r="M441" i="2"/>
  <c r="N441" i="2" s="1"/>
  <c r="M442" i="2"/>
  <c r="N442" i="2" s="1"/>
  <c r="M443" i="2"/>
  <c r="N443" i="2" s="1"/>
  <c r="M444" i="2"/>
  <c r="N444" i="2" s="1"/>
  <c r="M445" i="2"/>
  <c r="N445" i="2" s="1"/>
  <c r="M446" i="2"/>
  <c r="N446" i="2" s="1"/>
  <c r="M447" i="2"/>
  <c r="N447" i="2" s="1"/>
  <c r="M448" i="2"/>
  <c r="N448" i="2" s="1"/>
  <c r="M449" i="2"/>
  <c r="N449" i="2" s="1"/>
  <c r="M606" i="2"/>
  <c r="N606" i="2" s="1"/>
  <c r="M607" i="2"/>
  <c r="N607" i="2" s="1"/>
  <c r="M608" i="2"/>
  <c r="M609" i="2"/>
  <c r="N609" i="2" s="1"/>
  <c r="M610" i="2"/>
  <c r="N610" i="2" s="1"/>
  <c r="M611" i="2"/>
  <c r="N611" i="2" s="1"/>
  <c r="M612" i="2"/>
  <c r="N612" i="2" s="1"/>
  <c r="M613" i="2"/>
  <c r="N613" i="2" s="1"/>
  <c r="M614" i="2"/>
  <c r="N614" i="2" s="1"/>
  <c r="M615" i="2"/>
  <c r="N615" i="2" s="1"/>
  <c r="M616" i="2"/>
  <c r="N616" i="2" s="1"/>
  <c r="M617" i="2"/>
  <c r="N617" i="2" s="1"/>
  <c r="M618" i="2"/>
  <c r="N618" i="2" s="1"/>
  <c r="M619" i="2"/>
  <c r="N619" i="2" s="1"/>
  <c r="M620" i="2"/>
  <c r="N620" i="2" s="1"/>
  <c r="M621" i="2"/>
  <c r="N621" i="2" s="1"/>
  <c r="M622" i="2"/>
  <c r="N622" i="2" s="1"/>
  <c r="M623" i="2"/>
  <c r="N623" i="2" s="1"/>
  <c r="M624" i="2"/>
  <c r="N624" i="2" s="1"/>
  <c r="M625" i="2"/>
  <c r="N625" i="2" s="1"/>
  <c r="M626" i="2"/>
  <c r="N626" i="2" s="1"/>
  <c r="M627" i="2"/>
  <c r="N627" i="2" s="1"/>
  <c r="M628" i="2"/>
  <c r="N628" i="2" s="1"/>
  <c r="M629" i="2"/>
  <c r="N629" i="2" s="1"/>
  <c r="M630" i="2"/>
  <c r="N630" i="2" s="1"/>
  <c r="M631" i="2"/>
  <c r="N631" i="2" s="1"/>
  <c r="M632" i="2"/>
  <c r="N632" i="2" s="1"/>
  <c r="M633" i="2"/>
  <c r="N633" i="2" s="1"/>
  <c r="M634" i="2"/>
  <c r="N634" i="2" s="1"/>
  <c r="M635" i="2"/>
  <c r="N635" i="2" s="1"/>
  <c r="M636" i="2"/>
  <c r="N636" i="2" s="1"/>
  <c r="M637" i="2"/>
  <c r="N637" i="2" s="1"/>
  <c r="M638" i="2"/>
  <c r="N638" i="2" s="1"/>
  <c r="M639" i="2"/>
  <c r="N639" i="2" s="1"/>
  <c r="M640" i="2"/>
  <c r="N640" i="2" s="1"/>
  <c r="M641" i="2"/>
  <c r="N641" i="2" s="1"/>
  <c r="M642" i="2"/>
  <c r="N642" i="2" s="1"/>
  <c r="M643" i="2"/>
  <c r="N643" i="2" s="1"/>
  <c r="M644" i="2"/>
  <c r="N644" i="2" s="1"/>
  <c r="M645" i="2"/>
  <c r="N645" i="2" s="1"/>
  <c r="M646" i="2"/>
  <c r="N646" i="2" s="1"/>
  <c r="M647" i="2"/>
  <c r="N647" i="2" s="1"/>
  <c r="M648" i="2"/>
  <c r="N648" i="2" s="1"/>
  <c r="M649" i="2"/>
  <c r="N649" i="2" s="1"/>
  <c r="M650" i="2"/>
  <c r="N650" i="2" s="1"/>
  <c r="M651" i="2"/>
  <c r="N651" i="2" s="1"/>
  <c r="M652" i="2"/>
  <c r="N652" i="2" s="1"/>
  <c r="M653" i="2"/>
  <c r="N653" i="2" s="1"/>
  <c r="M654" i="2"/>
  <c r="N654" i="2" s="1"/>
  <c r="M655" i="2"/>
  <c r="N655" i="2" s="1"/>
  <c r="M656" i="2"/>
  <c r="N656" i="2" s="1"/>
  <c r="M657" i="2"/>
  <c r="N657" i="2" s="1"/>
  <c r="M658" i="2"/>
  <c r="N658" i="2" s="1"/>
  <c r="M659" i="2"/>
  <c r="N659" i="2" s="1"/>
  <c r="M660" i="2"/>
  <c r="N660" i="2" s="1"/>
  <c r="M661" i="2"/>
  <c r="N661" i="2" s="1"/>
  <c r="M662" i="2"/>
  <c r="N662" i="2" s="1"/>
  <c r="M663" i="2"/>
  <c r="N663" i="2" s="1"/>
  <c r="M664" i="2"/>
  <c r="N664" i="2" s="1"/>
  <c r="M665" i="2"/>
  <c r="N665" i="2" s="1"/>
  <c r="M666" i="2"/>
  <c r="N666" i="2" s="1"/>
  <c r="M667" i="2"/>
  <c r="N667" i="2" s="1"/>
  <c r="M668" i="2"/>
  <c r="N668" i="2" s="1"/>
  <c r="M669" i="2"/>
  <c r="N669" i="2" s="1"/>
  <c r="M670" i="2"/>
  <c r="N670" i="2" s="1"/>
  <c r="M671" i="2"/>
  <c r="N671" i="2" s="1"/>
  <c r="M672" i="2"/>
  <c r="N672" i="2" s="1"/>
  <c r="M673" i="2"/>
  <c r="N673" i="2" s="1"/>
  <c r="M674" i="2"/>
  <c r="N674" i="2" s="1"/>
  <c r="M675" i="2"/>
  <c r="N675" i="2" s="1"/>
  <c r="M676" i="2"/>
  <c r="N676" i="2" s="1"/>
  <c r="M677" i="2"/>
  <c r="N677" i="2" s="1"/>
  <c r="M678" i="2"/>
  <c r="N678" i="2" s="1"/>
  <c r="M679" i="2"/>
  <c r="N679" i="2" s="1"/>
  <c r="M680" i="2"/>
  <c r="N680" i="2" s="1"/>
  <c r="M681" i="2"/>
  <c r="N681" i="2" s="1"/>
  <c r="M682" i="2"/>
  <c r="N682" i="2" s="1"/>
  <c r="M683" i="2"/>
  <c r="N683" i="2" s="1"/>
  <c r="M684" i="2"/>
  <c r="N684" i="2" s="1"/>
  <c r="M685" i="2"/>
  <c r="N685" i="2" s="1"/>
  <c r="M686" i="2"/>
  <c r="N686" i="2" s="1"/>
  <c r="M687" i="2"/>
  <c r="N687" i="2" s="1"/>
  <c r="M688" i="2"/>
  <c r="N688" i="2" s="1"/>
  <c r="M689" i="2"/>
  <c r="N689" i="2" s="1"/>
  <c r="M690" i="2"/>
  <c r="N690" i="2" s="1"/>
  <c r="M691" i="2"/>
  <c r="N691" i="2" s="1"/>
  <c r="M692" i="2"/>
  <c r="N692" i="2" s="1"/>
  <c r="M693" i="2"/>
  <c r="N693" i="2" s="1"/>
  <c r="M694" i="2"/>
  <c r="N694" i="2" s="1"/>
  <c r="M695" i="2"/>
  <c r="N695" i="2" s="1"/>
  <c r="M696" i="2"/>
  <c r="N696" i="2" s="1"/>
  <c r="M697" i="2"/>
  <c r="N697" i="2" s="1"/>
  <c r="M698" i="2"/>
  <c r="N698" i="2" s="1"/>
  <c r="M699" i="2"/>
  <c r="N699" i="2" s="1"/>
  <c r="M700" i="2"/>
  <c r="N700" i="2" s="1"/>
  <c r="M701" i="2"/>
  <c r="N701" i="2" s="1"/>
  <c r="M702" i="2"/>
  <c r="N702" i="2" s="1"/>
  <c r="M703" i="2"/>
  <c r="N703" i="2" s="1"/>
  <c r="M704" i="2"/>
  <c r="N704" i="2" s="1"/>
  <c r="M705" i="2"/>
  <c r="N705" i="2" s="1"/>
  <c r="M706" i="2"/>
  <c r="N706" i="2" s="1"/>
  <c r="M707" i="2"/>
  <c r="N707" i="2" s="1"/>
  <c r="M708" i="2"/>
  <c r="N708" i="2" s="1"/>
  <c r="M709" i="2"/>
  <c r="N709" i="2" s="1"/>
  <c r="M710" i="2"/>
  <c r="N710" i="2" s="1"/>
  <c r="M711" i="2"/>
  <c r="N711" i="2" s="1"/>
  <c r="M712" i="2"/>
  <c r="N712" i="2" s="1"/>
  <c r="M713" i="2"/>
  <c r="N713" i="2" s="1"/>
  <c r="M714" i="2"/>
  <c r="N714" i="2" s="1"/>
  <c r="M715" i="2"/>
  <c r="N715" i="2" s="1"/>
  <c r="M716" i="2"/>
  <c r="N716" i="2" s="1"/>
  <c r="M717" i="2"/>
  <c r="N717" i="2" s="1"/>
  <c r="M718" i="2"/>
  <c r="N718" i="2" s="1"/>
  <c r="M719" i="2"/>
  <c r="N719" i="2" s="1"/>
  <c r="M720" i="2"/>
  <c r="N720" i="2" s="1"/>
  <c r="M721" i="2"/>
  <c r="N721" i="2" s="1"/>
  <c r="M722" i="2"/>
  <c r="N722" i="2" s="1"/>
  <c r="M723" i="2"/>
  <c r="N723" i="2" s="1"/>
  <c r="M724" i="2"/>
  <c r="N724" i="2" s="1"/>
  <c r="M725" i="2"/>
  <c r="N725" i="2" s="1"/>
  <c r="M726" i="2"/>
  <c r="N726" i="2" s="1"/>
  <c r="M727" i="2"/>
  <c r="N727" i="2" s="1"/>
  <c r="M728" i="2"/>
  <c r="N728" i="2" s="1"/>
  <c r="M729" i="2"/>
  <c r="N729" i="2" s="1"/>
  <c r="M730" i="2"/>
  <c r="N730" i="2" s="1"/>
  <c r="M731" i="2"/>
  <c r="N731" i="2" s="1"/>
  <c r="M732" i="2"/>
  <c r="N732" i="2" s="1"/>
  <c r="M733" i="2"/>
  <c r="N733" i="2" s="1"/>
  <c r="M734" i="2"/>
  <c r="N734" i="2" s="1"/>
  <c r="M735" i="2"/>
  <c r="N735" i="2" s="1"/>
  <c r="M736" i="2"/>
  <c r="N736" i="2" s="1"/>
  <c r="M737" i="2"/>
  <c r="N737" i="2" s="1"/>
  <c r="M738" i="2"/>
  <c r="N738" i="2" s="1"/>
  <c r="M739" i="2"/>
  <c r="N739" i="2" s="1"/>
  <c r="M740" i="2"/>
  <c r="N740" i="2" s="1"/>
  <c r="M741" i="2"/>
  <c r="N741" i="2" s="1"/>
  <c r="M742" i="2"/>
  <c r="N742" i="2" s="1"/>
  <c r="M743" i="2"/>
  <c r="N743" i="2" s="1"/>
  <c r="M744" i="2"/>
  <c r="N744" i="2" s="1"/>
  <c r="M745" i="2"/>
  <c r="N745" i="2" s="1"/>
  <c r="M746" i="2"/>
  <c r="N746" i="2" s="1"/>
  <c r="M747" i="2"/>
  <c r="N747" i="2" s="1"/>
  <c r="M748" i="2"/>
  <c r="N748" i="2" s="1"/>
  <c r="M749" i="2"/>
  <c r="N749" i="2" s="1"/>
  <c r="M750" i="2"/>
  <c r="N750" i="2" s="1"/>
  <c r="M751" i="2"/>
  <c r="N751" i="2" s="1"/>
  <c r="M752" i="2"/>
  <c r="N752" i="2" s="1"/>
  <c r="M753" i="2"/>
  <c r="N753" i="2" s="1"/>
  <c r="M754" i="2"/>
  <c r="N754" i="2" s="1"/>
  <c r="M755" i="2"/>
  <c r="N755" i="2" s="1"/>
  <c r="M756" i="2"/>
  <c r="N756" i="2" s="1"/>
  <c r="M757" i="2"/>
  <c r="N757" i="2" s="1"/>
  <c r="M758" i="2"/>
  <c r="N758" i="2" s="1"/>
  <c r="M759" i="2"/>
  <c r="N759" i="2" s="1"/>
  <c r="M760" i="2"/>
  <c r="N760" i="2" s="1"/>
  <c r="M761" i="2"/>
  <c r="N761" i="2" s="1"/>
  <c r="M762" i="2"/>
  <c r="N762" i="2" s="1"/>
  <c r="M763" i="2"/>
  <c r="N763" i="2" s="1"/>
  <c r="M764" i="2"/>
  <c r="N764" i="2" s="1"/>
  <c r="M765" i="2"/>
  <c r="N765" i="2" s="1"/>
  <c r="M766" i="2"/>
  <c r="N766" i="2" s="1"/>
  <c r="M767" i="2"/>
  <c r="N767" i="2" s="1"/>
  <c r="M768" i="2"/>
  <c r="N768" i="2" s="1"/>
  <c r="M769" i="2"/>
  <c r="N769" i="2" s="1"/>
  <c r="M770" i="2"/>
  <c r="N770" i="2" s="1"/>
  <c r="M771" i="2"/>
  <c r="N771" i="2" s="1"/>
  <c r="M772" i="2"/>
  <c r="N772" i="2" s="1"/>
  <c r="M773" i="2"/>
  <c r="N773" i="2" s="1"/>
  <c r="M774" i="2"/>
  <c r="N774" i="2" s="1"/>
  <c r="M775" i="2"/>
  <c r="N775" i="2" s="1"/>
  <c r="M776" i="2"/>
  <c r="N776" i="2" s="1"/>
  <c r="M777" i="2"/>
  <c r="N777" i="2" s="1"/>
  <c r="M778" i="2"/>
  <c r="N778" i="2" s="1"/>
  <c r="M779" i="2"/>
  <c r="N779" i="2" s="1"/>
  <c r="M780" i="2"/>
  <c r="N780" i="2" s="1"/>
  <c r="M781" i="2"/>
  <c r="N781" i="2" s="1"/>
  <c r="M782" i="2"/>
  <c r="N782" i="2" s="1"/>
  <c r="M783" i="2"/>
  <c r="N783" i="2" s="1"/>
  <c r="M784" i="2"/>
  <c r="N784" i="2" s="1"/>
  <c r="M785" i="2"/>
  <c r="N785" i="2" s="1"/>
  <c r="M786" i="2"/>
  <c r="N786" i="2" s="1"/>
  <c r="M787" i="2"/>
  <c r="N787" i="2" s="1"/>
  <c r="M788" i="2"/>
  <c r="N788" i="2" s="1"/>
  <c r="M789" i="2"/>
  <c r="N789" i="2" s="1"/>
  <c r="M790" i="2"/>
  <c r="N790" i="2" s="1"/>
  <c r="M791" i="2"/>
  <c r="N791" i="2" s="1"/>
  <c r="M792" i="2"/>
  <c r="N792" i="2" s="1"/>
  <c r="M793" i="2"/>
  <c r="N793" i="2" s="1"/>
  <c r="M794" i="2"/>
  <c r="N794" i="2" s="1"/>
  <c r="M795" i="2"/>
  <c r="N795" i="2" s="1"/>
  <c r="M796" i="2"/>
  <c r="N796" i="2" s="1"/>
  <c r="M797" i="2"/>
  <c r="N797" i="2" s="1"/>
  <c r="M798" i="2"/>
  <c r="N798" i="2" s="1"/>
  <c r="M799" i="2"/>
  <c r="N799" i="2" s="1"/>
  <c r="M800" i="2"/>
  <c r="N800" i="2" s="1"/>
  <c r="M801" i="2"/>
  <c r="N801" i="2" s="1"/>
  <c r="M802" i="2"/>
  <c r="N802" i="2" s="1"/>
  <c r="M803" i="2"/>
  <c r="N803" i="2" s="1"/>
  <c r="M804" i="2"/>
  <c r="N804" i="2" s="1"/>
  <c r="M805" i="2"/>
  <c r="N805" i="2" s="1"/>
  <c r="M806" i="2"/>
  <c r="N806" i="2" s="1"/>
  <c r="M807" i="2"/>
  <c r="N807" i="2" s="1"/>
  <c r="M808" i="2"/>
  <c r="N808" i="2" s="1"/>
  <c r="M809" i="2"/>
  <c r="N809" i="2" s="1"/>
  <c r="M810" i="2"/>
  <c r="N810" i="2" s="1"/>
  <c r="M811" i="2"/>
  <c r="N811" i="2" s="1"/>
  <c r="M812" i="2"/>
  <c r="N812" i="2" s="1"/>
  <c r="M813" i="2"/>
  <c r="N813" i="2" s="1"/>
  <c r="M814" i="2"/>
  <c r="N814" i="2" s="1"/>
  <c r="M815" i="2"/>
  <c r="N815" i="2" s="1"/>
  <c r="M816" i="2"/>
  <c r="N816" i="2" s="1"/>
  <c r="M817" i="2"/>
  <c r="N817" i="2" s="1"/>
  <c r="M818" i="2"/>
  <c r="N818" i="2" s="1"/>
  <c r="M819" i="2"/>
  <c r="N819" i="2" s="1"/>
  <c r="M820" i="2"/>
  <c r="N820" i="2" s="1"/>
  <c r="M821" i="2"/>
  <c r="N821" i="2" s="1"/>
  <c r="M822" i="2"/>
  <c r="N822" i="2" s="1"/>
  <c r="M823" i="2"/>
  <c r="N823" i="2" s="1"/>
  <c r="M824" i="2"/>
  <c r="N824" i="2" s="1"/>
  <c r="M825" i="2"/>
  <c r="N825" i="2" s="1"/>
  <c r="M826" i="2"/>
  <c r="N826" i="2" s="1"/>
  <c r="M827" i="2"/>
  <c r="N827" i="2" s="1"/>
  <c r="M828" i="2"/>
  <c r="N828" i="2" s="1"/>
  <c r="M829" i="2"/>
  <c r="N829" i="2" s="1"/>
  <c r="M830" i="2"/>
  <c r="N830" i="2" s="1"/>
  <c r="M831" i="2"/>
  <c r="N831" i="2" s="1"/>
  <c r="M832" i="2"/>
  <c r="N832" i="2" s="1"/>
  <c r="M833" i="2"/>
  <c r="N833" i="2" s="1"/>
  <c r="M834" i="2"/>
  <c r="N834" i="2" s="1"/>
  <c r="M835" i="2"/>
  <c r="N835" i="2" s="1"/>
  <c r="M836" i="2"/>
  <c r="N836" i="2" s="1"/>
  <c r="M837" i="2"/>
  <c r="N837" i="2" s="1"/>
  <c r="M838" i="2"/>
  <c r="N838" i="2" s="1"/>
  <c r="M839" i="2"/>
  <c r="N839" i="2" s="1"/>
  <c r="M840" i="2"/>
  <c r="N840" i="2" s="1"/>
  <c r="M841" i="2"/>
  <c r="N841" i="2" s="1"/>
  <c r="M842" i="2"/>
  <c r="N842" i="2" s="1"/>
  <c r="M843" i="2"/>
  <c r="N843" i="2" s="1"/>
  <c r="M844" i="2"/>
  <c r="N844" i="2" s="1"/>
  <c r="M845" i="2"/>
  <c r="N845" i="2" s="1"/>
  <c r="M846" i="2"/>
  <c r="N846" i="2" s="1"/>
  <c r="M847" i="2"/>
  <c r="N847" i="2" s="1"/>
  <c r="M848" i="2"/>
  <c r="N848" i="2" s="1"/>
  <c r="M849" i="2"/>
  <c r="N849" i="2" s="1"/>
  <c r="M850" i="2"/>
  <c r="N850" i="2" s="1"/>
  <c r="M851" i="2"/>
  <c r="N851" i="2" s="1"/>
  <c r="M852" i="2"/>
  <c r="N852" i="2" s="1"/>
  <c r="M853" i="2"/>
  <c r="N853" i="2" s="1"/>
  <c r="M854" i="2"/>
  <c r="N854" i="2" s="1"/>
  <c r="M855" i="2"/>
  <c r="N855" i="2" s="1"/>
  <c r="M856" i="2"/>
  <c r="N856" i="2" s="1"/>
  <c r="M857" i="2"/>
  <c r="N857" i="2" s="1"/>
  <c r="M858" i="2"/>
  <c r="N858" i="2" s="1"/>
  <c r="M859" i="2"/>
  <c r="N859" i="2" s="1"/>
  <c r="M860" i="2"/>
  <c r="N860" i="2" s="1"/>
  <c r="M861" i="2"/>
  <c r="N861" i="2" s="1"/>
  <c r="M862" i="2"/>
  <c r="N862" i="2" s="1"/>
  <c r="M863" i="2"/>
  <c r="N863" i="2" s="1"/>
  <c r="M864" i="2"/>
  <c r="N864" i="2" s="1"/>
  <c r="M865" i="2"/>
  <c r="N865" i="2" s="1"/>
  <c r="M866" i="2"/>
  <c r="N866" i="2" s="1"/>
  <c r="M867" i="2"/>
  <c r="N867" i="2" s="1"/>
  <c r="M868" i="2"/>
  <c r="N868" i="2" s="1"/>
  <c r="M869" i="2"/>
  <c r="N869" i="2" s="1"/>
  <c r="M870" i="2"/>
  <c r="N870" i="2" s="1"/>
  <c r="M871" i="2"/>
  <c r="N871" i="2" s="1"/>
  <c r="M872" i="2"/>
  <c r="N872" i="2" s="1"/>
  <c r="M873" i="2"/>
  <c r="N873" i="2" s="1"/>
  <c r="M874" i="2"/>
  <c r="N874" i="2" s="1"/>
  <c r="M875" i="2"/>
  <c r="N875" i="2" s="1"/>
  <c r="M876" i="2"/>
  <c r="N876" i="2" s="1"/>
  <c r="M877" i="2"/>
  <c r="N877" i="2" s="1"/>
  <c r="M878" i="2"/>
  <c r="N878" i="2" s="1"/>
  <c r="M879" i="2"/>
  <c r="N879" i="2" s="1"/>
  <c r="M880" i="2"/>
  <c r="N880" i="2" s="1"/>
  <c r="M881" i="2"/>
  <c r="N881" i="2" s="1"/>
  <c r="M882" i="2"/>
  <c r="N882" i="2" s="1"/>
  <c r="M883" i="2"/>
  <c r="N883" i="2" s="1"/>
  <c r="M884" i="2"/>
  <c r="N884" i="2" s="1"/>
  <c r="M885" i="2"/>
  <c r="N885" i="2" s="1"/>
  <c r="M886" i="2"/>
  <c r="N886" i="2" s="1"/>
  <c r="M887" i="2"/>
  <c r="N887" i="2" s="1"/>
  <c r="M888" i="2"/>
  <c r="N888" i="2" s="1"/>
  <c r="M889" i="2"/>
  <c r="N889" i="2" s="1"/>
  <c r="M890" i="2"/>
  <c r="N890" i="2" s="1"/>
  <c r="M891" i="2"/>
  <c r="N891" i="2" s="1"/>
  <c r="M892" i="2"/>
  <c r="N892" i="2" s="1"/>
  <c r="M893" i="2"/>
  <c r="N893" i="2" s="1"/>
  <c r="M894" i="2"/>
  <c r="N894" i="2" s="1"/>
  <c r="M895" i="2"/>
  <c r="N895" i="2" s="1"/>
  <c r="M896" i="2"/>
  <c r="N896" i="2" s="1"/>
  <c r="M897" i="2"/>
  <c r="N897" i="2" s="1"/>
  <c r="M898" i="2"/>
  <c r="N898" i="2" s="1"/>
  <c r="M899" i="2"/>
  <c r="N899" i="2" s="1"/>
  <c r="M900" i="2"/>
  <c r="N900" i="2" s="1"/>
  <c r="M901" i="2"/>
  <c r="N901" i="2" s="1"/>
  <c r="M902" i="2"/>
  <c r="N902" i="2" s="1"/>
  <c r="M903" i="2"/>
  <c r="N903" i="2" s="1"/>
  <c r="M904" i="2"/>
  <c r="N904" i="2" s="1"/>
  <c r="M905" i="2"/>
  <c r="N905" i="2" s="1"/>
  <c r="M906" i="2"/>
  <c r="N906" i="2" s="1"/>
  <c r="M907" i="2"/>
  <c r="N907" i="2" s="1"/>
  <c r="M908" i="2"/>
  <c r="N908" i="2" s="1"/>
  <c r="M909" i="2"/>
  <c r="N909" i="2" s="1"/>
  <c r="M910" i="2"/>
  <c r="N910" i="2" s="1"/>
  <c r="M911" i="2"/>
  <c r="N911" i="2" s="1"/>
  <c r="M912" i="2"/>
  <c r="N912" i="2" s="1"/>
  <c r="M913" i="2"/>
  <c r="N913" i="2" s="1"/>
  <c r="M914" i="2"/>
  <c r="N914" i="2" s="1"/>
  <c r="M915" i="2"/>
  <c r="N915" i="2" s="1"/>
  <c r="M916" i="2"/>
  <c r="N916" i="2" s="1"/>
  <c r="M917" i="2"/>
  <c r="N917" i="2" s="1"/>
  <c r="M918" i="2"/>
  <c r="N918" i="2" s="1"/>
  <c r="M919" i="2"/>
  <c r="N919" i="2" s="1"/>
  <c r="M920" i="2"/>
  <c r="N920" i="2" s="1"/>
  <c r="M921" i="2"/>
  <c r="N921" i="2" s="1"/>
  <c r="M922" i="2"/>
  <c r="N922" i="2" s="1"/>
  <c r="M923" i="2"/>
  <c r="N923" i="2" s="1"/>
  <c r="M924" i="2"/>
  <c r="N924" i="2" s="1"/>
  <c r="M925" i="2"/>
  <c r="N925" i="2" s="1"/>
  <c r="M926" i="2"/>
  <c r="N926" i="2" s="1"/>
  <c r="M927" i="2"/>
  <c r="N927" i="2" s="1"/>
  <c r="M928" i="2"/>
  <c r="N928" i="2" s="1"/>
  <c r="M929" i="2"/>
  <c r="N929" i="2" s="1"/>
  <c r="M930" i="2"/>
  <c r="N930" i="2" s="1"/>
  <c r="M931" i="2"/>
  <c r="N931" i="2" s="1"/>
  <c r="M932" i="2"/>
  <c r="N932" i="2" s="1"/>
  <c r="M933" i="2"/>
  <c r="N933" i="2" s="1"/>
  <c r="M934" i="2"/>
  <c r="N934" i="2" s="1"/>
  <c r="M935" i="2"/>
  <c r="N935" i="2" s="1"/>
  <c r="M936" i="2"/>
  <c r="N936" i="2" s="1"/>
  <c r="M937" i="2"/>
  <c r="N937" i="2" s="1"/>
  <c r="M938" i="2"/>
  <c r="N938" i="2" s="1"/>
  <c r="M939" i="2"/>
  <c r="N939" i="2" s="1"/>
  <c r="M940" i="2"/>
  <c r="N940" i="2" s="1"/>
  <c r="M941" i="2"/>
  <c r="N941" i="2" s="1"/>
  <c r="M942" i="2"/>
  <c r="N942" i="2" s="1"/>
  <c r="M943" i="2"/>
  <c r="N943" i="2" s="1"/>
  <c r="M944" i="2"/>
  <c r="N944" i="2" s="1"/>
  <c r="M945" i="2"/>
  <c r="N945" i="2" s="1"/>
  <c r="M946" i="2"/>
  <c r="N946" i="2" s="1"/>
  <c r="M947" i="2"/>
  <c r="N947" i="2" s="1"/>
  <c r="M948" i="2"/>
  <c r="N948" i="2" s="1"/>
  <c r="M949" i="2"/>
  <c r="N949" i="2" s="1"/>
  <c r="M950" i="2"/>
  <c r="N950" i="2" s="1"/>
  <c r="M951" i="2"/>
  <c r="N951" i="2" s="1"/>
  <c r="M952" i="2"/>
  <c r="N952" i="2" s="1"/>
  <c r="M953" i="2"/>
  <c r="N953" i="2" s="1"/>
  <c r="M954" i="2"/>
  <c r="N954" i="2" s="1"/>
  <c r="M955" i="2"/>
  <c r="N955" i="2" s="1"/>
  <c r="M956" i="2"/>
  <c r="N956" i="2" s="1"/>
  <c r="M957" i="2"/>
  <c r="N957" i="2" s="1"/>
  <c r="M958" i="2"/>
  <c r="N958" i="2" s="1"/>
  <c r="M959" i="2"/>
  <c r="N959" i="2" s="1"/>
  <c r="M960" i="2"/>
  <c r="N960" i="2" s="1"/>
  <c r="M961" i="2"/>
  <c r="N961" i="2" s="1"/>
  <c r="M962" i="2"/>
  <c r="N962" i="2" s="1"/>
  <c r="M963" i="2"/>
  <c r="N963" i="2" s="1"/>
  <c r="M964" i="2"/>
  <c r="N964" i="2" s="1"/>
  <c r="M965" i="2"/>
  <c r="N965" i="2" s="1"/>
  <c r="M966" i="2"/>
  <c r="N966" i="2" s="1"/>
  <c r="M967" i="2"/>
  <c r="N967" i="2" s="1"/>
  <c r="M968" i="2"/>
  <c r="N968" i="2" s="1"/>
  <c r="M969" i="2"/>
  <c r="N969" i="2" s="1"/>
  <c r="M970" i="2"/>
  <c r="N970" i="2" s="1"/>
  <c r="M971" i="2"/>
  <c r="N971" i="2" s="1"/>
  <c r="M972" i="2"/>
  <c r="N972" i="2" s="1"/>
  <c r="M973" i="2"/>
  <c r="N973" i="2" s="1"/>
  <c r="M974" i="2"/>
  <c r="N974" i="2" s="1"/>
  <c r="M975" i="2"/>
  <c r="N975" i="2" s="1"/>
  <c r="M976" i="2"/>
  <c r="N976" i="2" s="1"/>
  <c r="M977" i="2"/>
  <c r="N977" i="2" s="1"/>
  <c r="M978" i="2"/>
  <c r="M979" i="2"/>
  <c r="N979" i="2" s="1"/>
  <c r="M980" i="2"/>
  <c r="N980" i="2" s="1"/>
  <c r="M981" i="2"/>
  <c r="N981" i="2" s="1"/>
  <c r="M982" i="2"/>
  <c r="N982" i="2" s="1"/>
  <c r="M983" i="2"/>
  <c r="N983" i="2" s="1"/>
  <c r="M984" i="2"/>
  <c r="N984" i="2" s="1"/>
  <c r="M985" i="2"/>
  <c r="N985" i="2" s="1"/>
  <c r="M986" i="2"/>
  <c r="N986" i="2" s="1"/>
  <c r="M987" i="2"/>
  <c r="N987" i="2" s="1"/>
  <c r="M988" i="2"/>
  <c r="N988" i="2" s="1"/>
  <c r="M993" i="2"/>
  <c r="M994" i="2"/>
  <c r="N994" i="2" s="1"/>
  <c r="M995" i="2"/>
  <c r="N995" i="2" s="1"/>
  <c r="M996" i="2"/>
  <c r="N996" i="2" s="1"/>
  <c r="M997" i="2"/>
  <c r="N997" i="2" s="1"/>
  <c r="M998" i="2"/>
  <c r="N998" i="2" s="1"/>
  <c r="M999" i="2"/>
  <c r="N999" i="2" s="1"/>
  <c r="M1000" i="2"/>
  <c r="N1000" i="2" s="1"/>
  <c r="M1001" i="2"/>
  <c r="N1001" i="2" s="1"/>
  <c r="M1002" i="2"/>
  <c r="N1002" i="2" s="1"/>
  <c r="M1003" i="2"/>
  <c r="N1003" i="2" s="1"/>
  <c r="M1004" i="2"/>
  <c r="N1004" i="2" s="1"/>
  <c r="M1005" i="2"/>
  <c r="N1005" i="2" s="1"/>
  <c r="M1006" i="2"/>
  <c r="N1006" i="2" s="1"/>
  <c r="M1007" i="2"/>
  <c r="N1007" i="2" s="1"/>
  <c r="M1008" i="2"/>
  <c r="N1008" i="2" s="1"/>
  <c r="M1009" i="2"/>
  <c r="N1009" i="2" s="1"/>
  <c r="M1010" i="2"/>
  <c r="N1010" i="2" s="1"/>
  <c r="M1011" i="2"/>
  <c r="N1011" i="2" s="1"/>
  <c r="M1012" i="2"/>
  <c r="N1012" i="2" s="1"/>
  <c r="M1013" i="2"/>
  <c r="N1013" i="2" s="1"/>
  <c r="M1014" i="2"/>
  <c r="N1014" i="2" s="1"/>
  <c r="M1015" i="2"/>
  <c r="N1015" i="2" s="1"/>
  <c r="M1016" i="2"/>
  <c r="N1016" i="2" s="1"/>
  <c r="M1017" i="2"/>
  <c r="N1017" i="2" s="1"/>
  <c r="M1018" i="2"/>
  <c r="N1018" i="2" s="1"/>
  <c r="M1019" i="2"/>
  <c r="N1019" i="2" s="1"/>
  <c r="M1020" i="2"/>
  <c r="N1020" i="2" s="1"/>
  <c r="M1021" i="2"/>
  <c r="N1021" i="2" s="1"/>
  <c r="M1022" i="2"/>
  <c r="N1022" i="2" s="1"/>
  <c r="M1023" i="2"/>
  <c r="N1023" i="2" s="1"/>
  <c r="M1024" i="2"/>
  <c r="N1024" i="2" s="1"/>
  <c r="M1025" i="2"/>
  <c r="N1025" i="2" s="1"/>
  <c r="M1026" i="2"/>
  <c r="N1026" i="2" s="1"/>
  <c r="M1027" i="2"/>
  <c r="N1027" i="2" s="1"/>
  <c r="M1028" i="2"/>
  <c r="N1028" i="2" s="1"/>
  <c r="M1029" i="2"/>
  <c r="N1029" i="2" s="1"/>
  <c r="M1030" i="2"/>
  <c r="N1030" i="2" s="1"/>
  <c r="M1031" i="2"/>
  <c r="N1031" i="2" s="1"/>
  <c r="M1032" i="2"/>
  <c r="N1032" i="2" s="1"/>
  <c r="M1033" i="2"/>
  <c r="N1033" i="2" s="1"/>
  <c r="M1034" i="2"/>
  <c r="N1034" i="2" s="1"/>
  <c r="M1035" i="2"/>
  <c r="N1035" i="2" s="1"/>
  <c r="M1036" i="2"/>
  <c r="N1036" i="2" s="1"/>
  <c r="M1037" i="2"/>
  <c r="N1037" i="2" s="1"/>
  <c r="M1038" i="2"/>
  <c r="N1038" i="2" s="1"/>
  <c r="M1039" i="2"/>
  <c r="N1039" i="2" s="1"/>
  <c r="M1040" i="2"/>
  <c r="N1040" i="2" s="1"/>
  <c r="M1041" i="2"/>
  <c r="N1041" i="2" s="1"/>
  <c r="M1042" i="2"/>
  <c r="N1042" i="2" s="1"/>
  <c r="M1043" i="2"/>
  <c r="N1043" i="2" s="1"/>
  <c r="M1044" i="2"/>
  <c r="N1044" i="2" s="1"/>
  <c r="M1045" i="2"/>
  <c r="N1045" i="2" s="1"/>
  <c r="M1046" i="2"/>
  <c r="N1046" i="2" s="1"/>
  <c r="M1047" i="2"/>
  <c r="N1047" i="2" s="1"/>
  <c r="M1048" i="2"/>
  <c r="N1048" i="2" s="1"/>
  <c r="M1049" i="2"/>
  <c r="N1049" i="2" s="1"/>
  <c r="M1050" i="2"/>
  <c r="N1050" i="2" s="1"/>
  <c r="M1051" i="2"/>
  <c r="N1051" i="2" s="1"/>
  <c r="M1052" i="2"/>
  <c r="N1052" i="2" s="1"/>
  <c r="M1053" i="2"/>
  <c r="N1053" i="2" s="1"/>
  <c r="M1054" i="2"/>
  <c r="N1054" i="2" s="1"/>
  <c r="M1055" i="2"/>
  <c r="N1055" i="2" s="1"/>
  <c r="M1056" i="2"/>
  <c r="N1056" i="2" s="1"/>
  <c r="M1057" i="2"/>
  <c r="N1057" i="2" s="1"/>
  <c r="M1058" i="2"/>
  <c r="N1058" i="2" s="1"/>
  <c r="M1059" i="2"/>
  <c r="N1059" i="2" s="1"/>
  <c r="M1060" i="2"/>
  <c r="N1060" i="2" s="1"/>
  <c r="M1061" i="2"/>
  <c r="N1061" i="2" s="1"/>
  <c r="M1062" i="2"/>
  <c r="N1062" i="2" s="1"/>
  <c r="M1063" i="2"/>
  <c r="N1063" i="2" s="1"/>
  <c r="M1064" i="2"/>
  <c r="N1064" i="2" s="1"/>
  <c r="M1065" i="2"/>
  <c r="N1065" i="2" s="1"/>
  <c r="M1066" i="2"/>
  <c r="N1066" i="2" s="1"/>
  <c r="M1067" i="2"/>
  <c r="N1067" i="2" s="1"/>
  <c r="M1068" i="2"/>
  <c r="N1068" i="2" s="1"/>
  <c r="M1069" i="2"/>
  <c r="N1069" i="2" s="1"/>
  <c r="M1070" i="2"/>
  <c r="N1070" i="2" s="1"/>
  <c r="M1071" i="2"/>
  <c r="N1071" i="2" s="1"/>
  <c r="M1072" i="2"/>
  <c r="N1072" i="2" s="1"/>
  <c r="M1073" i="2"/>
  <c r="N1073" i="2" s="1"/>
  <c r="M1074" i="2"/>
  <c r="N1074" i="2" s="1"/>
  <c r="M1075" i="2"/>
  <c r="N1075" i="2" s="1"/>
  <c r="M1076" i="2"/>
  <c r="N1076" i="2" s="1"/>
  <c r="M1077" i="2"/>
  <c r="N1077" i="2" s="1"/>
  <c r="M1078" i="2"/>
  <c r="N1078" i="2" s="1"/>
  <c r="M1079" i="2"/>
  <c r="N1079" i="2" s="1"/>
  <c r="M1080" i="2"/>
  <c r="N1080" i="2" s="1"/>
  <c r="M1081" i="2"/>
  <c r="N1081" i="2" s="1"/>
  <c r="M1082" i="2"/>
  <c r="N1082" i="2" s="1"/>
  <c r="M1083" i="2"/>
  <c r="N1083" i="2" s="1"/>
  <c r="M1084" i="2"/>
  <c r="N1084" i="2" s="1"/>
  <c r="M1085" i="2"/>
  <c r="N1085" i="2" s="1"/>
  <c r="M1086" i="2"/>
  <c r="N1086" i="2" s="1"/>
  <c r="M1087" i="2"/>
  <c r="N1087" i="2" s="1"/>
  <c r="M1088" i="2"/>
  <c r="N1088" i="2" s="1"/>
  <c r="M1089" i="2"/>
  <c r="N1089" i="2" s="1"/>
  <c r="M1090" i="2"/>
  <c r="N1090" i="2" s="1"/>
  <c r="M1091" i="2"/>
  <c r="N1091" i="2" s="1"/>
  <c r="M1092" i="2"/>
  <c r="N1092" i="2" s="1"/>
  <c r="M1093" i="2"/>
  <c r="N1093" i="2" s="1"/>
  <c r="M1094" i="2"/>
  <c r="N1094" i="2" s="1"/>
  <c r="M1095" i="2"/>
  <c r="N1095" i="2" s="1"/>
  <c r="M1096" i="2"/>
  <c r="N1096" i="2" s="1"/>
  <c r="M1097" i="2"/>
  <c r="N1097" i="2" s="1"/>
  <c r="M1098" i="2"/>
  <c r="N1098" i="2" s="1"/>
  <c r="M1099" i="2"/>
  <c r="N1099" i="2" s="1"/>
  <c r="M1100" i="2"/>
  <c r="N1100" i="2" s="1"/>
  <c r="M1101" i="2"/>
  <c r="N1101" i="2" s="1"/>
  <c r="M1102" i="2"/>
  <c r="N1102" i="2" s="1"/>
  <c r="M1103" i="2"/>
  <c r="N1103" i="2" s="1"/>
  <c r="M1104" i="2"/>
  <c r="N1104" i="2" s="1"/>
  <c r="M1105" i="2"/>
  <c r="N1105" i="2" s="1"/>
  <c r="M1106" i="2"/>
  <c r="N1106" i="2" s="1"/>
  <c r="M1107" i="2"/>
  <c r="N1107" i="2" s="1"/>
  <c r="M1108" i="2"/>
  <c r="N1108" i="2" s="1"/>
  <c r="M1109" i="2"/>
  <c r="N1109" i="2" s="1"/>
  <c r="M1110" i="2"/>
  <c r="N1110" i="2" s="1"/>
  <c r="M1111" i="2"/>
  <c r="N1111" i="2" s="1"/>
  <c r="M1112" i="2"/>
  <c r="N1112" i="2" s="1"/>
  <c r="M1113" i="2"/>
  <c r="N1113" i="2" s="1"/>
  <c r="M1114" i="2"/>
  <c r="N1114" i="2" s="1"/>
  <c r="M1115" i="2"/>
  <c r="N1115" i="2" s="1"/>
  <c r="M1116" i="2"/>
  <c r="N1116" i="2" s="1"/>
  <c r="M1117" i="2"/>
  <c r="N1117" i="2" s="1"/>
  <c r="M1118" i="2"/>
  <c r="N1118" i="2" s="1"/>
  <c r="M1119" i="2"/>
  <c r="N1119" i="2" s="1"/>
  <c r="M1120" i="2"/>
  <c r="N1120" i="2" s="1"/>
  <c r="M1121" i="2"/>
  <c r="N1121" i="2" s="1"/>
  <c r="M1122" i="2"/>
  <c r="N1122" i="2" s="1"/>
  <c r="M1123" i="2"/>
  <c r="N1123" i="2" s="1"/>
  <c r="M1124" i="2"/>
  <c r="N1124" i="2" s="1"/>
  <c r="M1125" i="2"/>
  <c r="N1125" i="2" s="1"/>
  <c r="M1126" i="2"/>
  <c r="N1126" i="2" s="1"/>
  <c r="M1127" i="2"/>
  <c r="N1127" i="2" s="1"/>
  <c r="M1128" i="2"/>
  <c r="N1128" i="2" s="1"/>
  <c r="M1129" i="2"/>
  <c r="N1129" i="2" s="1"/>
  <c r="M1130" i="2"/>
  <c r="N1130" i="2" s="1"/>
  <c r="M1131" i="2"/>
  <c r="N1131" i="2" s="1"/>
  <c r="M1132" i="2"/>
  <c r="N1132" i="2" s="1"/>
  <c r="M1133" i="2"/>
  <c r="N1133" i="2" s="1"/>
  <c r="M1134" i="2"/>
  <c r="N1134" i="2" s="1"/>
  <c r="M1135" i="2"/>
  <c r="N1135" i="2" s="1"/>
  <c r="M1136" i="2"/>
  <c r="N1136" i="2" s="1"/>
  <c r="M1137" i="2"/>
  <c r="N1137" i="2" s="1"/>
  <c r="M1138" i="2"/>
  <c r="N1138" i="2" s="1"/>
  <c r="M1139" i="2"/>
  <c r="N1139" i="2" s="1"/>
  <c r="M1140" i="2"/>
  <c r="N1140" i="2" s="1"/>
  <c r="M1141" i="2"/>
  <c r="N1141" i="2" s="1"/>
  <c r="M1142" i="2"/>
  <c r="N1142" i="2" s="1"/>
  <c r="M1143" i="2"/>
  <c r="N1143" i="2" s="1"/>
  <c r="M1144" i="2"/>
  <c r="N1144" i="2" s="1"/>
  <c r="M1145" i="2"/>
  <c r="N1145" i="2" s="1"/>
  <c r="M1146" i="2"/>
  <c r="N1146" i="2" s="1"/>
  <c r="M1147" i="2"/>
  <c r="N1147" i="2" s="1"/>
  <c r="M1148" i="2"/>
  <c r="N1148" i="2" s="1"/>
  <c r="M1149" i="2"/>
  <c r="N1149" i="2" s="1"/>
  <c r="M1150" i="2"/>
  <c r="N1150" i="2" s="1"/>
  <c r="M1151" i="2"/>
  <c r="N1151" i="2" s="1"/>
  <c r="M1152" i="2"/>
  <c r="N1152" i="2" s="1"/>
  <c r="M1153" i="2"/>
  <c r="N1153" i="2" s="1"/>
  <c r="M1154" i="2"/>
  <c r="M1155" i="2"/>
  <c r="N1155" i="2" s="1"/>
  <c r="M1156" i="2"/>
  <c r="N1156" i="2" s="1"/>
  <c r="M1157" i="2"/>
  <c r="N1157" i="2" s="1"/>
  <c r="M1158" i="2"/>
  <c r="N1158" i="2" s="1"/>
  <c r="M1159" i="2"/>
  <c r="N1159" i="2" s="1"/>
  <c r="M1160" i="2"/>
  <c r="N1160" i="2" s="1"/>
  <c r="M1161" i="2"/>
  <c r="N1161" i="2" s="1"/>
  <c r="M1162" i="2"/>
  <c r="N1162" i="2" s="1"/>
  <c r="M1163" i="2"/>
  <c r="N1163" i="2" s="1"/>
  <c r="M1164" i="2"/>
  <c r="N1164" i="2" s="1"/>
  <c r="M1165" i="2"/>
  <c r="N1165" i="2" s="1"/>
  <c r="M1166" i="2"/>
  <c r="N1166" i="2" s="1"/>
  <c r="M1167" i="2"/>
  <c r="N1167" i="2" s="1"/>
  <c r="M1168" i="2"/>
  <c r="N1168" i="2" s="1"/>
  <c r="M1169" i="2"/>
  <c r="N1169" i="2" s="1"/>
  <c r="M1170" i="2"/>
  <c r="N1170" i="2" s="1"/>
  <c r="M1171" i="2"/>
  <c r="N1171" i="2" s="1"/>
  <c r="M1172" i="2"/>
  <c r="N1172" i="2" s="1"/>
  <c r="M1173" i="2"/>
  <c r="N1173" i="2" s="1"/>
  <c r="M1174" i="2"/>
  <c r="N1174" i="2" s="1"/>
  <c r="M1175" i="2"/>
  <c r="N1175" i="2" s="1"/>
  <c r="M1176" i="2"/>
  <c r="N1176" i="2" s="1"/>
  <c r="M1177" i="2"/>
  <c r="N1177" i="2" s="1"/>
  <c r="M1178" i="2"/>
  <c r="N1178" i="2" s="1"/>
  <c r="M1179" i="2"/>
  <c r="N1179" i="2" s="1"/>
  <c r="M1180" i="2"/>
  <c r="N1180" i="2" s="1"/>
  <c r="M1181" i="2"/>
  <c r="N1181" i="2" s="1"/>
  <c r="M1182" i="2"/>
  <c r="N1182" i="2" s="1"/>
  <c r="M1183" i="2"/>
  <c r="N1183" i="2" s="1"/>
  <c r="M1184" i="2"/>
  <c r="N1184" i="2" s="1"/>
  <c r="M1185" i="2"/>
  <c r="N1185" i="2" s="1"/>
  <c r="M1186" i="2"/>
  <c r="N1186" i="2" s="1"/>
  <c r="M1187" i="2"/>
  <c r="N1187" i="2" s="1"/>
  <c r="M1188" i="2"/>
  <c r="N1188" i="2" s="1"/>
  <c r="M1189" i="2"/>
  <c r="N1189" i="2" s="1"/>
  <c r="M1190" i="2"/>
  <c r="N1190" i="2" s="1"/>
  <c r="M1191" i="2"/>
  <c r="N1191" i="2" s="1"/>
  <c r="M1192" i="2"/>
  <c r="N1192" i="2" s="1"/>
  <c r="M1193" i="2"/>
  <c r="N1193" i="2" s="1"/>
  <c r="M1194" i="2"/>
  <c r="N1194" i="2" s="1"/>
  <c r="M1195" i="2"/>
  <c r="N1195" i="2" s="1"/>
  <c r="M1196" i="2"/>
  <c r="N1196" i="2" s="1"/>
  <c r="M1197" i="2"/>
  <c r="N1197" i="2" s="1"/>
  <c r="M1198" i="2"/>
  <c r="N1198" i="2" s="1"/>
  <c r="M1199" i="2"/>
  <c r="N1199" i="2" s="1"/>
  <c r="M1200" i="2"/>
  <c r="N1200" i="2" s="1"/>
  <c r="M1201" i="2"/>
  <c r="N1201" i="2" s="1"/>
  <c r="M1202" i="2"/>
  <c r="N1202" i="2" s="1"/>
  <c r="M1203" i="2"/>
  <c r="N1203" i="2" s="1"/>
  <c r="M1204" i="2"/>
  <c r="N1204" i="2" s="1"/>
  <c r="M1205" i="2"/>
  <c r="N1205" i="2" s="1"/>
  <c r="M1206" i="2"/>
  <c r="N1206" i="2" s="1"/>
  <c r="M1207" i="2"/>
  <c r="N1207" i="2" s="1"/>
  <c r="M1208" i="2"/>
  <c r="N1208" i="2" s="1"/>
  <c r="M1209" i="2"/>
  <c r="N1209" i="2" s="1"/>
  <c r="M1210" i="2"/>
  <c r="N1210" i="2" s="1"/>
  <c r="M1614" i="2"/>
  <c r="N1614" i="2" s="1"/>
  <c r="M1615" i="2"/>
  <c r="N1615" i="2" s="1"/>
  <c r="M1616" i="2"/>
  <c r="N1616" i="2" s="1"/>
  <c r="M1617" i="2"/>
  <c r="N1617" i="2" s="1"/>
  <c r="M1618" i="2"/>
  <c r="N1618" i="2" s="1"/>
  <c r="M1619" i="2"/>
  <c r="N1619" i="2" s="1"/>
  <c r="M1620" i="2"/>
  <c r="N1620" i="2" s="1"/>
  <c r="M1621" i="2"/>
  <c r="N1621" i="2" s="1"/>
  <c r="M1764" i="2"/>
  <c r="M1765" i="2"/>
  <c r="N1765" i="2" s="1"/>
  <c r="M1766" i="2"/>
  <c r="N1766" i="2" s="1"/>
  <c r="M1767" i="2"/>
  <c r="N1767" i="2" s="1"/>
  <c r="M1768" i="2"/>
  <c r="N1768" i="2" s="1"/>
  <c r="M1769" i="2"/>
  <c r="N1769" i="2" s="1"/>
  <c r="M1770" i="2"/>
  <c r="N1770" i="2" s="1"/>
  <c r="M1771" i="2"/>
  <c r="N1771" i="2" s="1"/>
  <c r="M1772" i="2"/>
  <c r="N1772" i="2" s="1"/>
  <c r="M1773" i="2"/>
  <c r="N1773" i="2" s="1"/>
  <c r="M1774" i="2"/>
  <c r="N1774" i="2" s="1"/>
  <c r="M1775" i="2"/>
  <c r="N1775" i="2" s="1"/>
  <c r="M1776" i="2"/>
  <c r="N1776" i="2" s="1"/>
  <c r="M1777" i="2"/>
  <c r="N1777" i="2" s="1"/>
  <c r="M1778" i="2"/>
  <c r="N1778" i="2" s="1"/>
  <c r="M1779" i="2"/>
  <c r="N1779" i="2" s="1"/>
  <c r="M1780" i="2"/>
  <c r="N1780" i="2" s="1"/>
  <c r="M1781" i="2"/>
  <c r="N1781" i="2" s="1"/>
  <c r="M1782" i="2"/>
  <c r="N1782" i="2" s="1"/>
  <c r="M1783" i="2"/>
  <c r="N1783" i="2" s="1"/>
  <c r="M1784" i="2"/>
  <c r="N1784" i="2" s="1"/>
  <c r="M1785" i="2"/>
  <c r="N1785" i="2" s="1"/>
  <c r="M1786" i="2"/>
  <c r="N1786" i="2" s="1"/>
  <c r="M1787" i="2"/>
  <c r="N1787" i="2" s="1"/>
  <c r="M1788" i="2"/>
  <c r="N1788" i="2" s="1"/>
  <c r="M1789" i="2"/>
  <c r="N1789" i="2" s="1"/>
  <c r="M1790" i="2"/>
  <c r="N1790" i="2" s="1"/>
  <c r="M1791" i="2"/>
  <c r="N1791" i="2" s="1"/>
  <c r="M1792" i="2"/>
  <c r="N1792" i="2" s="1"/>
  <c r="M1793" i="2"/>
  <c r="N1793" i="2" s="1"/>
  <c r="M1794" i="2"/>
  <c r="N1794" i="2" s="1"/>
  <c r="M1795" i="2"/>
  <c r="N1795" i="2" s="1"/>
  <c r="M1796" i="2"/>
  <c r="N1796" i="2" s="1"/>
  <c r="M1797" i="2"/>
  <c r="N1797" i="2" s="1"/>
  <c r="M1798" i="2"/>
  <c r="N1798" i="2" s="1"/>
  <c r="M1799" i="2"/>
  <c r="N1799" i="2" s="1"/>
  <c r="M1800" i="2"/>
  <c r="N1800" i="2" s="1"/>
  <c r="M1801" i="2"/>
  <c r="N1801" i="2" s="1"/>
  <c r="M1802" i="2"/>
  <c r="N1802" i="2" s="1"/>
  <c r="M1803" i="2"/>
  <c r="N1803" i="2" s="1"/>
  <c r="M1804" i="2"/>
  <c r="N1804" i="2" s="1"/>
  <c r="M1805" i="2"/>
  <c r="N1805" i="2" s="1"/>
  <c r="M1806" i="2"/>
  <c r="N1806" i="2" s="1"/>
  <c r="M1807" i="2"/>
  <c r="N1807" i="2" s="1"/>
  <c r="M1808" i="2"/>
  <c r="N1808" i="2" s="1"/>
  <c r="M1809" i="2"/>
  <c r="N1809" i="2" s="1"/>
  <c r="M1810" i="2"/>
  <c r="N1810" i="2" s="1"/>
  <c r="M1811" i="2"/>
  <c r="N1811" i="2" s="1"/>
  <c r="M1812" i="2"/>
  <c r="N1812" i="2" s="1"/>
  <c r="M1813" i="2"/>
  <c r="M1814" i="2"/>
  <c r="N1814" i="2" s="1"/>
  <c r="M1815" i="2"/>
  <c r="N1815" i="2" s="1"/>
  <c r="M1816" i="2"/>
  <c r="N1816" i="2" s="1"/>
  <c r="M1817" i="2"/>
  <c r="N1817" i="2" s="1"/>
  <c r="M1818" i="2"/>
  <c r="N1818" i="2" s="1"/>
  <c r="M1819" i="2"/>
  <c r="N1819" i="2" s="1"/>
  <c r="M1820" i="2"/>
  <c r="N1820" i="2" s="1"/>
  <c r="M1821" i="2"/>
  <c r="N1821" i="2" s="1"/>
  <c r="M1822" i="2"/>
  <c r="N1822" i="2" s="1"/>
  <c r="M1823" i="2"/>
  <c r="N1823" i="2" s="1"/>
  <c r="M1824" i="2"/>
  <c r="N1824" i="2" s="1"/>
  <c r="M1825" i="2"/>
  <c r="N1825" i="2" s="1"/>
  <c r="M1826" i="2"/>
  <c r="N1826" i="2" s="1"/>
  <c r="M1902" i="2"/>
  <c r="M1903" i="2"/>
  <c r="N1903" i="2" s="1"/>
  <c r="M1904" i="2"/>
  <c r="N1904" i="2" s="1"/>
  <c r="M1905" i="2"/>
  <c r="N1905" i="2" s="1"/>
  <c r="M1906" i="2"/>
  <c r="N1906" i="2" s="1"/>
  <c r="M1907" i="2"/>
  <c r="N1907" i="2" s="1"/>
  <c r="M1908" i="2"/>
  <c r="N1908" i="2" s="1"/>
  <c r="M1909" i="2"/>
  <c r="N1909" i="2" s="1"/>
  <c r="M1910" i="2"/>
  <c r="N1910" i="2" s="1"/>
  <c r="M1911" i="2"/>
  <c r="N1911" i="2" s="1"/>
  <c r="M1912" i="2"/>
  <c r="N1912" i="2" s="1"/>
  <c r="M1913" i="2"/>
  <c r="N1913" i="2" s="1"/>
  <c r="M1914" i="2"/>
  <c r="N1914" i="2" s="1"/>
  <c r="M1915" i="2"/>
  <c r="N1915" i="2" s="1"/>
  <c r="M1916" i="2"/>
  <c r="N1916" i="2" s="1"/>
  <c r="M1917" i="2"/>
  <c r="N1917" i="2" s="1"/>
  <c r="M1918" i="2"/>
  <c r="N1918" i="2" s="1"/>
  <c r="M1919" i="2"/>
  <c r="N1919" i="2" s="1"/>
  <c r="M1920" i="2"/>
  <c r="N1920" i="2" s="1"/>
  <c r="M1921" i="2"/>
  <c r="N1921" i="2" s="1"/>
  <c r="M1922" i="2"/>
  <c r="N1922" i="2" s="1"/>
  <c r="M1923" i="2"/>
  <c r="N1923" i="2" s="1"/>
  <c r="M1924" i="2"/>
  <c r="N1924" i="2" s="1"/>
  <c r="M1925" i="2"/>
  <c r="N1925" i="2" s="1"/>
  <c r="M1926" i="2"/>
  <c r="N1926" i="2" s="1"/>
  <c r="M1927" i="2"/>
  <c r="N1927" i="2" s="1"/>
  <c r="M1928" i="2"/>
  <c r="N1928" i="2" s="1"/>
  <c r="M1929" i="2"/>
  <c r="N1929" i="2" s="1"/>
  <c r="M1930" i="2"/>
  <c r="N1930" i="2" s="1"/>
  <c r="M1931" i="2"/>
  <c r="N1931" i="2" s="1"/>
  <c r="M1932" i="2"/>
  <c r="N1932" i="2" s="1"/>
  <c r="M1933" i="2"/>
  <c r="N1933" i="2" s="1"/>
  <c r="M1934" i="2"/>
  <c r="N1934" i="2" s="1"/>
  <c r="M1935" i="2"/>
  <c r="N1935" i="2" s="1"/>
  <c r="M1936" i="2"/>
  <c r="N1936" i="2" s="1"/>
  <c r="M1937" i="2"/>
  <c r="N1937" i="2" s="1"/>
  <c r="M1938" i="2"/>
  <c r="N1938" i="2" s="1"/>
  <c r="M1939" i="2"/>
  <c r="N1939" i="2" s="1"/>
  <c r="M1940" i="2"/>
  <c r="N1940" i="2" s="1"/>
  <c r="M1941" i="2"/>
  <c r="N1941" i="2" s="1"/>
  <c r="M1942" i="2"/>
  <c r="N1942" i="2" s="1"/>
  <c r="M1943" i="2"/>
  <c r="N1943" i="2" s="1"/>
  <c r="M1944" i="2"/>
  <c r="N1944" i="2" s="1"/>
  <c r="M1945" i="2"/>
  <c r="N1945" i="2" s="1"/>
  <c r="M1946" i="2"/>
  <c r="N1946" i="2" s="1"/>
  <c r="M1947" i="2"/>
  <c r="N1947" i="2" s="1"/>
  <c r="M1948" i="2"/>
  <c r="N1948" i="2" s="1"/>
  <c r="M1949" i="2"/>
  <c r="N1949" i="2" s="1"/>
  <c r="M1950" i="2"/>
  <c r="N1950" i="2" s="1"/>
  <c r="M1951" i="2"/>
  <c r="N1951" i="2" s="1"/>
  <c r="M1952" i="2"/>
  <c r="N1952" i="2" s="1"/>
  <c r="M1953" i="2"/>
  <c r="N1953" i="2" s="1"/>
  <c r="M1954" i="2"/>
  <c r="N1954" i="2" s="1"/>
  <c r="M1955" i="2"/>
  <c r="N1955" i="2" s="1"/>
  <c r="M1956" i="2"/>
  <c r="N1956" i="2" s="1"/>
  <c r="M1957" i="2"/>
  <c r="N1957" i="2" s="1"/>
  <c r="M1958" i="2"/>
  <c r="N1958" i="2" s="1"/>
  <c r="M1959" i="2"/>
  <c r="N1959" i="2" s="1"/>
  <c r="M1960" i="2"/>
  <c r="N1960" i="2" s="1"/>
  <c r="M1961" i="2"/>
  <c r="N1961" i="2" s="1"/>
  <c r="M1962" i="2"/>
  <c r="N1962" i="2" s="1"/>
  <c r="M1963" i="2"/>
  <c r="N1963" i="2" s="1"/>
  <c r="M1964" i="2"/>
  <c r="N1964" i="2" s="1"/>
  <c r="M1965" i="2"/>
  <c r="N1965" i="2" s="1"/>
  <c r="M1966" i="2"/>
  <c r="N1966" i="2" s="1"/>
  <c r="M1967" i="2"/>
  <c r="N1967" i="2" s="1"/>
  <c r="M1968" i="2"/>
  <c r="N1968" i="2" s="1"/>
  <c r="M1969" i="2"/>
  <c r="M1970" i="2"/>
  <c r="N1970" i="2" s="1"/>
  <c r="M1971" i="2"/>
  <c r="N1971" i="2" s="1"/>
  <c r="M1972" i="2"/>
  <c r="N1972" i="2" s="1"/>
  <c r="M1973" i="2"/>
  <c r="N1973" i="2" s="1"/>
  <c r="M1974" i="2"/>
  <c r="N1974" i="2" s="1"/>
  <c r="M1975" i="2"/>
  <c r="N1975" i="2" s="1"/>
  <c r="M1976" i="2"/>
  <c r="N1976" i="2" s="1"/>
  <c r="M1977" i="2"/>
  <c r="N1977" i="2" s="1"/>
  <c r="M1978" i="2"/>
  <c r="N1978" i="2" s="1"/>
  <c r="M1979" i="2"/>
  <c r="N1979" i="2" s="1"/>
  <c r="M1980" i="2"/>
  <c r="N1980" i="2" s="1"/>
  <c r="M1981" i="2"/>
  <c r="N1981" i="2" s="1"/>
  <c r="M1982" i="2"/>
  <c r="N1982" i="2" s="1"/>
  <c r="M1983" i="2"/>
  <c r="N1983" i="2" s="1"/>
  <c r="M1984" i="2"/>
  <c r="N1984" i="2" s="1"/>
  <c r="M1985" i="2"/>
  <c r="N1985" i="2" s="1"/>
  <c r="M1986" i="2"/>
  <c r="N1986" i="2" s="1"/>
  <c r="M1987" i="2"/>
  <c r="N1987" i="2" s="1"/>
  <c r="M1988" i="2"/>
  <c r="N1988" i="2" s="1"/>
  <c r="M1989" i="2"/>
  <c r="N1989" i="2" s="1"/>
  <c r="M1990" i="2"/>
  <c r="N1990" i="2" s="1"/>
  <c r="M1991" i="2"/>
  <c r="N1991" i="2" s="1"/>
  <c r="M1992" i="2"/>
  <c r="N1992" i="2" s="1"/>
  <c r="M1993" i="2"/>
  <c r="N1993" i="2" s="1"/>
  <c r="M1994" i="2"/>
  <c r="N1994" i="2" s="1"/>
  <c r="M1995" i="2"/>
  <c r="N1995" i="2" s="1"/>
  <c r="M1996" i="2"/>
  <c r="N1996" i="2" s="1"/>
  <c r="M2017" i="2"/>
  <c r="M2018" i="2"/>
  <c r="N2018" i="2" s="1"/>
  <c r="M2019" i="2"/>
  <c r="N2019" i="2" s="1"/>
  <c r="M2020" i="2"/>
  <c r="N2020" i="2" s="1"/>
  <c r="M2021" i="2"/>
  <c r="N2021" i="2" s="1"/>
  <c r="M2022" i="2"/>
  <c r="N2022" i="2" s="1"/>
  <c r="M2023" i="2"/>
  <c r="N2023" i="2" s="1"/>
  <c r="M2024" i="2"/>
  <c r="N2024" i="2" s="1"/>
  <c r="M2025" i="2"/>
  <c r="N2025" i="2" s="1"/>
  <c r="M2026" i="2"/>
  <c r="N2026" i="2" s="1"/>
  <c r="M2027" i="2"/>
  <c r="N2027" i="2" s="1"/>
  <c r="M2028" i="2"/>
  <c r="N2028" i="2" s="1"/>
  <c r="M2029" i="2"/>
  <c r="N2029" i="2" s="1"/>
  <c r="M2030" i="2"/>
  <c r="N2030" i="2" s="1"/>
  <c r="M2031" i="2"/>
  <c r="N2031" i="2" s="1"/>
  <c r="M2032" i="2"/>
  <c r="N2032" i="2" s="1"/>
  <c r="M2320" i="2"/>
  <c r="M2321" i="2"/>
  <c r="N2321" i="2" s="1"/>
  <c r="M2322" i="2"/>
  <c r="N2322" i="2" s="1"/>
  <c r="M2323" i="2"/>
  <c r="N2323" i="2" s="1"/>
  <c r="M2324" i="2"/>
  <c r="N2324" i="2" s="1"/>
  <c r="M2325" i="2"/>
  <c r="N2325" i="2" s="1"/>
  <c r="M2326" i="2"/>
  <c r="N2326" i="2" s="1"/>
  <c r="M2327" i="2"/>
  <c r="N2327" i="2" s="1"/>
  <c r="M2328" i="2"/>
  <c r="N2328" i="2" s="1"/>
  <c r="M2329" i="2"/>
  <c r="N2329" i="2" s="1"/>
  <c r="M2330" i="2"/>
  <c r="N2330" i="2" s="1"/>
  <c r="M2331" i="2"/>
  <c r="N2331" i="2" s="1"/>
  <c r="M2332" i="2"/>
  <c r="N2332" i="2" s="1"/>
  <c r="M2333" i="2"/>
  <c r="N2333" i="2" s="1"/>
  <c r="M2334" i="2"/>
  <c r="N2334" i="2" s="1"/>
  <c r="M2335" i="2"/>
  <c r="N2335" i="2" s="1"/>
  <c r="M2336" i="2"/>
  <c r="N2336" i="2" s="1"/>
  <c r="M2337" i="2"/>
  <c r="N2337" i="2" s="1"/>
  <c r="M2338" i="2"/>
  <c r="N2338" i="2" s="1"/>
  <c r="M2339" i="2"/>
  <c r="N2339" i="2" s="1"/>
  <c r="M2340" i="2"/>
  <c r="N2340" i="2" s="1"/>
  <c r="M2341" i="2"/>
  <c r="N2341" i="2" s="1"/>
  <c r="M2342" i="2"/>
  <c r="N2342" i="2" s="1"/>
  <c r="M2343" i="2"/>
  <c r="N2343" i="2" s="1"/>
  <c r="M2344" i="2"/>
  <c r="N2344" i="2" s="1"/>
  <c r="M2345" i="2"/>
  <c r="N2345" i="2" s="1"/>
  <c r="M2346" i="2"/>
  <c r="N2346" i="2" s="1"/>
  <c r="M2347" i="2"/>
  <c r="N2347" i="2" s="1"/>
  <c r="M2348" i="2"/>
  <c r="N2348" i="2" s="1"/>
  <c r="M2349" i="2"/>
  <c r="N2349" i="2" s="1"/>
  <c r="M2350" i="2"/>
  <c r="N2350" i="2" s="1"/>
  <c r="M2351" i="2"/>
  <c r="N2351" i="2" s="1"/>
  <c r="M2352" i="2"/>
  <c r="N2352" i="2" s="1"/>
  <c r="M2353" i="2"/>
  <c r="N2353" i="2" s="1"/>
  <c r="M2354" i="2"/>
  <c r="N2354" i="2" s="1"/>
  <c r="M2355" i="2"/>
  <c r="N2355" i="2" s="1"/>
  <c r="M2356" i="2"/>
  <c r="N2356" i="2" s="1"/>
  <c r="M2357" i="2"/>
  <c r="N2357" i="2" s="1"/>
  <c r="M2358" i="2"/>
  <c r="N2358" i="2" s="1"/>
  <c r="M2359" i="2"/>
  <c r="N2359" i="2" s="1"/>
  <c r="M2360" i="2"/>
  <c r="N2360" i="2" s="1"/>
  <c r="M2361" i="2"/>
  <c r="N2361" i="2" s="1"/>
  <c r="M2362" i="2"/>
  <c r="N2362" i="2" s="1"/>
  <c r="M2363" i="2"/>
  <c r="N2363" i="2" s="1"/>
  <c r="M2364" i="2"/>
  <c r="N2364" i="2" s="1"/>
  <c r="M2365" i="2"/>
  <c r="N2365" i="2" s="1"/>
  <c r="M2366" i="2"/>
  <c r="N2366" i="2" s="1"/>
  <c r="M2367" i="2"/>
  <c r="N2367" i="2" s="1"/>
  <c r="M2368" i="2"/>
  <c r="N2368" i="2" s="1"/>
  <c r="M2369" i="2"/>
  <c r="N2369" i="2" s="1"/>
  <c r="M2370" i="2"/>
  <c r="N2370" i="2" s="1"/>
  <c r="M2371" i="2"/>
  <c r="N2371" i="2" s="1"/>
  <c r="M2372" i="2"/>
  <c r="N2372" i="2" s="1"/>
  <c r="M2373" i="2"/>
  <c r="N2373" i="2" s="1"/>
  <c r="M2374" i="2"/>
  <c r="N2374" i="2" s="1"/>
  <c r="M2375" i="2"/>
  <c r="N2375" i="2" s="1"/>
  <c r="M2376" i="2"/>
  <c r="N2376" i="2" s="1"/>
  <c r="M2377" i="2"/>
  <c r="N2377" i="2" s="1"/>
  <c r="M2378" i="2"/>
  <c r="N2378" i="2" s="1"/>
  <c r="M2379" i="2"/>
  <c r="N2379" i="2" s="1"/>
  <c r="M2380" i="2"/>
  <c r="N2380" i="2" s="1"/>
  <c r="M2381" i="2"/>
  <c r="N2381" i="2" s="1"/>
  <c r="M2382" i="2"/>
  <c r="N2382" i="2" s="1"/>
  <c r="M2383" i="2"/>
  <c r="N2383" i="2" s="1"/>
  <c r="M2384" i="2"/>
  <c r="N2384" i="2" s="1"/>
  <c r="M2385" i="2"/>
  <c r="N2385" i="2" s="1"/>
  <c r="M2386" i="2"/>
  <c r="N2386" i="2" s="1"/>
  <c r="M2387" i="2"/>
  <c r="N2387" i="2" s="1"/>
  <c r="M2388" i="2"/>
  <c r="N2388" i="2" s="1"/>
  <c r="M2389" i="2"/>
  <c r="N2389" i="2" s="1"/>
  <c r="M2390" i="2"/>
  <c r="N2390" i="2" s="1"/>
  <c r="M2391" i="2"/>
  <c r="N2391" i="2" s="1"/>
  <c r="M2392" i="2"/>
  <c r="N2392" i="2" s="1"/>
  <c r="M2836" i="2"/>
  <c r="M2837" i="2"/>
  <c r="N2837" i="2" s="1"/>
  <c r="M2838" i="2"/>
  <c r="M2839" i="2"/>
  <c r="N2839" i="2" s="1"/>
  <c r="M2840" i="2"/>
  <c r="N2840" i="2" s="1"/>
  <c r="M2841" i="2"/>
  <c r="N2841" i="2" s="1"/>
  <c r="M2842" i="2"/>
  <c r="N2842" i="2" s="1"/>
  <c r="M2843" i="2"/>
  <c r="N2843" i="2" s="1"/>
  <c r="M2844" i="2"/>
  <c r="N2844" i="2" s="1"/>
  <c r="M2845" i="2"/>
  <c r="N2845" i="2" s="1"/>
  <c r="M2846" i="2"/>
  <c r="N2846" i="2" s="1"/>
  <c r="M2847" i="2"/>
  <c r="N2847" i="2" s="1"/>
  <c r="M2848" i="2"/>
  <c r="N2848" i="2" s="1"/>
  <c r="M2849" i="2"/>
  <c r="N2849" i="2" s="1"/>
  <c r="M2850" i="2"/>
  <c r="N2850" i="2" s="1"/>
  <c r="M2851" i="2"/>
  <c r="N2851" i="2" s="1"/>
  <c r="M2852" i="2"/>
  <c r="N2852" i="2" s="1"/>
  <c r="M2853" i="2"/>
  <c r="N2853" i="2" s="1"/>
  <c r="M2854" i="2"/>
  <c r="N2854" i="2" s="1"/>
  <c r="M2855" i="2"/>
  <c r="N2855" i="2" s="1"/>
  <c r="M2856" i="2"/>
  <c r="N2856" i="2" s="1"/>
  <c r="M2857" i="2"/>
  <c r="N2857" i="2" s="1"/>
  <c r="M2858" i="2"/>
  <c r="N2858" i="2" s="1"/>
  <c r="M2859" i="2"/>
  <c r="N2859" i="2" s="1"/>
  <c r="M2860" i="2"/>
  <c r="N2860" i="2" s="1"/>
  <c r="M2861" i="2"/>
  <c r="N2861" i="2" s="1"/>
  <c r="M2862" i="2"/>
  <c r="N2862" i="2" s="1"/>
  <c r="M2863" i="2"/>
  <c r="N2863" i="2" s="1"/>
  <c r="M2864" i="2"/>
  <c r="N2864" i="2" s="1"/>
  <c r="M2865" i="2"/>
  <c r="N2865" i="2" s="1"/>
  <c r="M2866" i="2"/>
  <c r="N2866" i="2" s="1"/>
  <c r="M2867" i="2"/>
  <c r="N2867" i="2" s="1"/>
  <c r="M2868" i="2"/>
  <c r="N2868" i="2" s="1"/>
  <c r="M2869" i="2"/>
  <c r="N2869" i="2" s="1"/>
  <c r="M2870" i="2"/>
  <c r="N2870" i="2" s="1"/>
  <c r="M2871" i="2"/>
  <c r="N2871" i="2" s="1"/>
  <c r="M2872" i="2"/>
  <c r="N2872" i="2" s="1"/>
  <c r="M2873" i="2"/>
  <c r="N2873" i="2" s="1"/>
  <c r="M2874" i="2"/>
  <c r="N2874" i="2" s="1"/>
  <c r="M2875" i="2"/>
  <c r="N2875" i="2" s="1"/>
  <c r="M2876" i="2"/>
  <c r="N2876" i="2" s="1"/>
  <c r="M2877" i="2"/>
  <c r="N2877" i="2" s="1"/>
  <c r="M2878" i="2"/>
  <c r="N2878" i="2" s="1"/>
  <c r="M2879" i="2"/>
  <c r="N2879" i="2" s="1"/>
  <c r="M2880" i="2"/>
  <c r="N2880" i="2" s="1"/>
  <c r="M2881" i="2"/>
  <c r="N2881" i="2" s="1"/>
  <c r="M2882" i="2"/>
  <c r="N2882" i="2" s="1"/>
  <c r="M2883" i="2"/>
  <c r="N2883" i="2" s="1"/>
  <c r="M2884" i="2"/>
  <c r="N2884" i="2" s="1"/>
  <c r="M2885" i="2"/>
  <c r="N2885" i="2" s="1"/>
  <c r="M2886" i="2"/>
  <c r="N2886" i="2" s="1"/>
  <c r="M2887" i="2"/>
  <c r="N2887" i="2" s="1"/>
  <c r="M2888" i="2"/>
  <c r="N2888" i="2" s="1"/>
  <c r="M2889" i="2"/>
  <c r="N2889" i="2" s="1"/>
  <c r="M2890" i="2"/>
  <c r="N2890" i="2" s="1"/>
  <c r="M2891" i="2"/>
  <c r="N2891" i="2" s="1"/>
  <c r="M2892" i="2"/>
  <c r="N2892" i="2" s="1"/>
  <c r="M2893" i="2"/>
  <c r="N2893" i="2" s="1"/>
  <c r="M2894" i="2"/>
  <c r="N2894" i="2" s="1"/>
  <c r="M2895" i="2"/>
  <c r="N2895" i="2" s="1"/>
  <c r="M2896" i="2"/>
  <c r="N2896" i="2" s="1"/>
  <c r="M2897" i="2"/>
  <c r="N2897" i="2" s="1"/>
  <c r="M2898" i="2"/>
  <c r="N2898" i="2" s="1"/>
  <c r="M2899" i="2"/>
  <c r="N2899" i="2" s="1"/>
  <c r="M2900" i="2"/>
  <c r="N2900" i="2" s="1"/>
  <c r="M2901" i="2"/>
  <c r="N2901" i="2" s="1"/>
  <c r="M2902" i="2"/>
  <c r="N2902" i="2" s="1"/>
  <c r="M2903" i="2"/>
  <c r="N2903" i="2" s="1"/>
  <c r="M2904" i="2"/>
  <c r="N2904" i="2" s="1"/>
  <c r="M2905" i="2"/>
  <c r="N2905" i="2" s="1"/>
  <c r="M2906" i="2"/>
  <c r="N2906" i="2" s="1"/>
  <c r="M2907" i="2"/>
  <c r="N2907" i="2" s="1"/>
  <c r="M2908" i="2"/>
  <c r="N2908" i="2" s="1"/>
  <c r="M2909" i="2"/>
  <c r="N2909" i="2" s="1"/>
  <c r="M2910" i="2"/>
  <c r="N2910" i="2" s="1"/>
  <c r="M2911" i="2"/>
  <c r="N2911" i="2" s="1"/>
  <c r="M2912" i="2"/>
  <c r="N2912" i="2" s="1"/>
  <c r="M2913" i="2"/>
  <c r="N2913" i="2" s="1"/>
  <c r="M2914" i="2"/>
  <c r="N2914" i="2" s="1"/>
  <c r="M2915" i="2"/>
  <c r="N2915" i="2" s="1"/>
  <c r="M2916" i="2"/>
  <c r="N2916" i="2" s="1"/>
  <c r="M2917" i="2"/>
  <c r="N2917" i="2" s="1"/>
  <c r="M2918" i="2"/>
  <c r="N2918" i="2" s="1"/>
  <c r="M2919" i="2"/>
  <c r="N2919" i="2" s="1"/>
  <c r="M2920" i="2"/>
  <c r="N2920" i="2" s="1"/>
  <c r="M2921" i="2"/>
  <c r="N2921" i="2" s="1"/>
  <c r="M2922" i="2"/>
  <c r="N2922" i="2" s="1"/>
  <c r="M2923" i="2"/>
  <c r="N2923" i="2" s="1"/>
  <c r="M2924" i="2"/>
  <c r="N2924" i="2" s="1"/>
  <c r="M2925" i="2"/>
  <c r="N2925" i="2" s="1"/>
  <c r="M2926" i="2"/>
  <c r="N2926" i="2" s="1"/>
  <c r="M2927" i="2"/>
  <c r="N2927" i="2" s="1"/>
  <c r="M2928" i="2"/>
  <c r="N2928" i="2" s="1"/>
  <c r="M2929" i="2"/>
  <c r="N2929" i="2" s="1"/>
  <c r="M2930" i="2"/>
  <c r="N2930" i="2" s="1"/>
  <c r="M2931" i="2"/>
  <c r="N2931" i="2" s="1"/>
  <c r="M2932" i="2"/>
  <c r="N2932" i="2" s="1"/>
  <c r="M2933" i="2"/>
  <c r="N2933" i="2" s="1"/>
  <c r="M2934" i="2"/>
  <c r="N2934" i="2" s="1"/>
  <c r="M2935" i="2"/>
  <c r="N2935" i="2" s="1"/>
  <c r="M2936" i="2"/>
  <c r="N2936" i="2" s="1"/>
  <c r="M2937" i="2"/>
  <c r="N2937" i="2" s="1"/>
  <c r="M2938" i="2"/>
  <c r="N2938" i="2" s="1"/>
  <c r="M2939" i="2"/>
  <c r="N2939" i="2" s="1"/>
  <c r="M2940" i="2"/>
  <c r="N2940" i="2" s="1"/>
  <c r="M2941" i="2"/>
  <c r="N2941" i="2" s="1"/>
  <c r="M2942" i="2"/>
  <c r="N2942" i="2" s="1"/>
  <c r="M2943" i="2"/>
  <c r="N2943" i="2" s="1"/>
  <c r="M2944" i="2"/>
  <c r="N2944" i="2" s="1"/>
  <c r="M2945" i="2"/>
  <c r="N2945" i="2" s="1"/>
  <c r="M2946" i="2"/>
  <c r="N2946" i="2" s="1"/>
  <c r="M2947" i="2"/>
  <c r="N2947" i="2" s="1"/>
  <c r="M2948" i="2"/>
  <c r="N2948" i="2" s="1"/>
  <c r="M2949" i="2"/>
  <c r="N2949" i="2" s="1"/>
  <c r="M2950" i="2"/>
  <c r="N2950" i="2" s="1"/>
  <c r="M2951" i="2"/>
  <c r="N2951" i="2" s="1"/>
  <c r="M2952" i="2"/>
  <c r="N2952" i="2" s="1"/>
  <c r="M2953" i="2"/>
  <c r="N2953" i="2" s="1"/>
  <c r="M2954" i="2"/>
  <c r="N2954" i="2" s="1"/>
  <c r="M2955" i="2"/>
  <c r="N2955" i="2" s="1"/>
  <c r="M2956" i="2"/>
  <c r="N2956" i="2" s="1"/>
  <c r="M2957" i="2"/>
  <c r="N2957" i="2" s="1"/>
  <c r="M2958" i="2"/>
  <c r="N2958" i="2" s="1"/>
  <c r="M2959" i="2"/>
  <c r="N2959" i="2" s="1"/>
  <c r="M2960" i="2"/>
  <c r="N2960" i="2" s="1"/>
  <c r="M2961" i="2"/>
  <c r="N2961" i="2" s="1"/>
  <c r="M2962" i="2"/>
  <c r="N2962" i="2" s="1"/>
  <c r="M2963" i="2"/>
  <c r="N2963" i="2" s="1"/>
  <c r="M2964" i="2"/>
  <c r="N2964" i="2" s="1"/>
  <c r="M2965" i="2"/>
  <c r="N2965" i="2" s="1"/>
  <c r="M2966" i="2"/>
  <c r="N2966" i="2" s="1"/>
  <c r="M2967" i="2"/>
  <c r="N2967" i="2" s="1"/>
  <c r="M2968" i="2"/>
  <c r="N2968" i="2" s="1"/>
  <c r="M2969" i="2"/>
  <c r="N2969" i="2" s="1"/>
  <c r="M2970" i="2"/>
  <c r="N2970" i="2" s="1"/>
  <c r="M2971" i="2"/>
  <c r="N2971" i="2" s="1"/>
  <c r="M2972" i="2"/>
  <c r="N2972" i="2" s="1"/>
  <c r="M2973" i="2"/>
  <c r="N2973" i="2" s="1"/>
  <c r="M2974" i="2"/>
  <c r="N2974" i="2" s="1"/>
  <c r="M2975" i="2"/>
  <c r="N2975" i="2" s="1"/>
  <c r="M2976" i="2"/>
  <c r="N2976" i="2" s="1"/>
  <c r="M2977" i="2"/>
  <c r="N2977" i="2" s="1"/>
  <c r="M2978" i="2"/>
  <c r="N2978" i="2" s="1"/>
  <c r="M2979" i="2"/>
  <c r="N2979" i="2" s="1"/>
  <c r="M2980" i="2"/>
  <c r="N2980" i="2" s="1"/>
  <c r="M2981" i="2"/>
  <c r="N2981" i="2" s="1"/>
  <c r="M2982" i="2"/>
  <c r="N2982" i="2" s="1"/>
  <c r="M2983" i="2"/>
  <c r="N2983" i="2" s="1"/>
  <c r="M2984" i="2"/>
  <c r="N2984" i="2" s="1"/>
  <c r="M2985" i="2"/>
  <c r="N2985" i="2" s="1"/>
  <c r="M2986" i="2"/>
  <c r="N2986" i="2" s="1"/>
  <c r="M2987" i="2"/>
  <c r="N2987" i="2" s="1"/>
  <c r="M2988" i="2"/>
  <c r="N2988" i="2" s="1"/>
  <c r="M2989" i="2"/>
  <c r="N2989" i="2" s="1"/>
  <c r="M2990" i="2"/>
  <c r="N2990" i="2" s="1"/>
  <c r="M2991" i="2"/>
  <c r="N2991" i="2" s="1"/>
  <c r="M2992" i="2"/>
  <c r="N2992" i="2" s="1"/>
  <c r="M2993" i="2"/>
  <c r="N2993" i="2" s="1"/>
  <c r="M2994" i="2"/>
  <c r="N2994" i="2" s="1"/>
  <c r="M2995" i="2"/>
  <c r="N2995" i="2" s="1"/>
  <c r="M2996" i="2"/>
  <c r="N2996" i="2" s="1"/>
  <c r="M2997" i="2"/>
  <c r="N2997" i="2" s="1"/>
  <c r="M2998" i="2"/>
  <c r="N2998" i="2" s="1"/>
  <c r="M2999" i="2"/>
  <c r="N2999" i="2" s="1"/>
  <c r="M3000" i="2"/>
  <c r="N3000" i="2" s="1"/>
  <c r="M3001" i="2"/>
  <c r="N3001" i="2" s="1"/>
  <c r="M3002" i="2"/>
  <c r="N3002" i="2" s="1"/>
  <c r="M3003" i="2"/>
  <c r="N3003" i="2" s="1"/>
  <c r="M3004" i="2"/>
  <c r="N3004" i="2" s="1"/>
  <c r="M3005" i="2"/>
  <c r="N3005" i="2" s="1"/>
  <c r="M3006" i="2"/>
  <c r="N3006" i="2" s="1"/>
  <c r="M3007" i="2"/>
  <c r="N3007" i="2" s="1"/>
  <c r="M3008" i="2"/>
  <c r="N3008" i="2" s="1"/>
  <c r="M3009" i="2"/>
  <c r="N3009" i="2" s="1"/>
  <c r="M3010" i="2"/>
  <c r="N3010" i="2" s="1"/>
  <c r="M3011" i="2"/>
  <c r="N3011" i="2" s="1"/>
  <c r="M3012" i="2"/>
  <c r="N3012" i="2" s="1"/>
  <c r="M3013" i="2"/>
  <c r="N3013" i="2" s="1"/>
  <c r="M3014" i="2"/>
  <c r="N3014" i="2" s="1"/>
  <c r="M3015" i="2"/>
  <c r="N3015" i="2" s="1"/>
  <c r="M3016" i="2"/>
  <c r="N3016" i="2" s="1"/>
  <c r="M3017" i="2"/>
  <c r="N3017" i="2" s="1"/>
  <c r="M3018" i="2"/>
  <c r="N3018" i="2" s="1"/>
  <c r="M3019" i="2"/>
  <c r="N3019" i="2" s="1"/>
  <c r="M3020" i="2"/>
  <c r="N3020" i="2" s="1"/>
  <c r="M3021" i="2"/>
  <c r="N3021" i="2" s="1"/>
  <c r="M3023" i="2"/>
  <c r="N3023" i="2" s="1"/>
  <c r="M3122" i="2"/>
  <c r="M3123" i="2"/>
  <c r="N3123" i="2" s="1"/>
  <c r="M3124" i="2"/>
  <c r="N3124" i="2" s="1"/>
  <c r="M3125" i="2"/>
  <c r="N3125" i="2" s="1"/>
  <c r="M3126" i="2"/>
  <c r="N3126" i="2" s="1"/>
  <c r="M3127" i="2"/>
  <c r="N3127" i="2" s="1"/>
  <c r="M3128" i="2"/>
  <c r="N3128" i="2" s="1"/>
  <c r="M3129" i="2"/>
  <c r="N3129" i="2" s="1"/>
  <c r="M3130" i="2"/>
  <c r="N3130" i="2" s="1"/>
  <c r="M3131" i="2"/>
  <c r="N3131" i="2" s="1"/>
  <c r="M3132" i="2"/>
  <c r="N3132" i="2" s="1"/>
  <c r="M3133" i="2"/>
  <c r="N3133" i="2" s="1"/>
  <c r="M3134" i="2"/>
  <c r="N3134" i="2" s="1"/>
  <c r="M3135" i="2"/>
  <c r="N3135" i="2" s="1"/>
  <c r="M3136" i="2"/>
  <c r="N3136" i="2" s="1"/>
  <c r="M3137" i="2"/>
  <c r="N3137" i="2" s="1"/>
  <c r="M3138" i="2"/>
  <c r="N3138" i="2" s="1"/>
  <c r="M3139" i="2"/>
  <c r="N3139" i="2" s="1"/>
  <c r="M3140" i="2"/>
  <c r="N3140" i="2" s="1"/>
  <c r="M3141" i="2"/>
  <c r="N3141" i="2" s="1"/>
  <c r="M3142" i="2"/>
  <c r="N3142" i="2" s="1"/>
  <c r="M3143" i="2"/>
  <c r="N3143" i="2" s="1"/>
  <c r="M3144" i="2"/>
  <c r="N3144" i="2" s="1"/>
  <c r="M3145" i="2"/>
  <c r="N3145" i="2" s="1"/>
  <c r="M3146" i="2"/>
  <c r="N3146" i="2" s="1"/>
  <c r="M3147" i="2"/>
  <c r="N3147" i="2" s="1"/>
  <c r="M3148" i="2"/>
  <c r="N3148" i="2" s="1"/>
  <c r="M3149" i="2"/>
  <c r="N3149" i="2" s="1"/>
  <c r="M3150" i="2"/>
  <c r="N3150" i="2" s="1"/>
  <c r="M3151" i="2"/>
  <c r="N3151" i="2" s="1"/>
  <c r="M3152" i="2"/>
  <c r="N3152" i="2" s="1"/>
  <c r="M3153" i="2"/>
  <c r="N3153" i="2" s="1"/>
  <c r="M3154" i="2"/>
  <c r="N3154" i="2" s="1"/>
  <c r="M3155" i="2"/>
  <c r="N3155" i="2" s="1"/>
  <c r="M3156" i="2"/>
  <c r="N3156" i="2" s="1"/>
  <c r="M3157" i="2"/>
  <c r="N3157" i="2" s="1"/>
  <c r="M3158" i="2"/>
  <c r="N3158" i="2" s="1"/>
  <c r="M3159" i="2"/>
  <c r="N3159" i="2" s="1"/>
  <c r="M3160" i="2"/>
  <c r="N3160" i="2" s="1"/>
  <c r="M3161" i="2"/>
  <c r="N3161" i="2" s="1"/>
  <c r="M3162" i="2"/>
  <c r="N3162" i="2" s="1"/>
  <c r="M3163" i="2"/>
  <c r="N3163" i="2" s="1"/>
  <c r="M3164" i="2"/>
  <c r="N3164" i="2" s="1"/>
  <c r="M3165" i="2"/>
  <c r="N3165" i="2" s="1"/>
  <c r="M3166" i="2"/>
  <c r="N3166" i="2" s="1"/>
  <c r="M3167" i="2"/>
  <c r="N3167" i="2" s="1"/>
  <c r="M3168" i="2"/>
  <c r="N3168" i="2" s="1"/>
  <c r="M3169" i="2"/>
  <c r="N3169" i="2" s="1"/>
  <c r="M3170" i="2"/>
  <c r="N3170" i="2" s="1"/>
  <c r="M3171" i="2"/>
  <c r="N3171" i="2" s="1"/>
  <c r="M3172" i="2"/>
  <c r="N3172" i="2" s="1"/>
  <c r="M3173" i="2"/>
  <c r="N3173" i="2" s="1"/>
  <c r="M3174" i="2"/>
  <c r="N3174" i="2" s="1"/>
  <c r="M3175" i="2"/>
  <c r="N3175" i="2" s="1"/>
  <c r="M3176" i="2"/>
  <c r="N3176" i="2" s="1"/>
  <c r="M3177" i="2"/>
  <c r="N3177" i="2" s="1"/>
  <c r="M3178" i="2"/>
  <c r="N3178" i="2" s="1"/>
  <c r="M3179" i="2"/>
  <c r="N3179" i="2" s="1"/>
  <c r="M3180" i="2"/>
  <c r="N3180" i="2" s="1"/>
  <c r="M3181" i="2"/>
  <c r="N3181" i="2" s="1"/>
  <c r="M3182" i="2"/>
  <c r="N3182" i="2" s="1"/>
  <c r="M3183" i="2"/>
  <c r="N3183" i="2" s="1"/>
  <c r="M3184" i="2"/>
  <c r="N3184" i="2" s="1"/>
  <c r="M3185" i="2"/>
  <c r="N3185" i="2" s="1"/>
  <c r="M3186" i="2"/>
  <c r="N3186" i="2" s="1"/>
  <c r="M3187" i="2"/>
  <c r="N3187" i="2" s="1"/>
  <c r="M3188" i="2"/>
  <c r="N3188" i="2" s="1"/>
  <c r="M3189" i="2"/>
  <c r="N3189" i="2" s="1"/>
  <c r="M3190" i="2"/>
  <c r="N3190" i="2" s="1"/>
  <c r="M3191" i="2"/>
  <c r="N3191" i="2" s="1"/>
  <c r="M3192" i="2"/>
  <c r="N3192" i="2" s="1"/>
  <c r="M3193" i="2"/>
  <c r="N3193" i="2" s="1"/>
  <c r="M3194" i="2"/>
  <c r="N3194" i="2" s="1"/>
  <c r="M3195" i="2"/>
  <c r="N3195" i="2" s="1"/>
  <c r="M3196" i="2"/>
  <c r="N3196" i="2" s="1"/>
  <c r="M3197" i="2"/>
  <c r="N3197" i="2" s="1"/>
  <c r="M3198" i="2"/>
  <c r="N3198" i="2" s="1"/>
  <c r="M3199" i="2"/>
  <c r="N3199" i="2" s="1"/>
  <c r="M3200" i="2"/>
  <c r="N3200" i="2" s="1"/>
  <c r="M3201" i="2"/>
  <c r="N3201" i="2" s="1"/>
  <c r="M3202" i="2"/>
  <c r="N3202" i="2" s="1"/>
  <c r="M3244" i="2"/>
  <c r="M3245" i="2"/>
  <c r="N3245" i="2" s="1"/>
  <c r="M3246" i="2"/>
  <c r="N3246" i="2" s="1"/>
  <c r="M3247" i="2"/>
  <c r="N3247" i="2" s="1"/>
  <c r="M3248" i="2"/>
  <c r="N3248" i="2" s="1"/>
  <c r="M3249" i="2"/>
  <c r="N3249" i="2" s="1"/>
  <c r="M3250" i="2"/>
  <c r="N3250" i="2" s="1"/>
  <c r="M3251" i="2"/>
  <c r="N3251" i="2" s="1"/>
  <c r="M3252" i="2"/>
  <c r="N3252" i="2" s="1"/>
  <c r="M3253" i="2"/>
  <c r="N3253" i="2" s="1"/>
  <c r="M3254" i="2"/>
  <c r="N3254" i="2" s="1"/>
  <c r="M3255" i="2"/>
  <c r="N3255" i="2" s="1"/>
  <c r="M3256" i="2"/>
  <c r="N3256" i="2" s="1"/>
  <c r="M3257" i="2"/>
  <c r="N3257" i="2" s="1"/>
  <c r="M3258" i="2"/>
  <c r="N3258" i="2" s="1"/>
  <c r="M3259" i="2"/>
  <c r="N3259" i="2" s="1"/>
  <c r="M3260" i="2"/>
  <c r="N3260" i="2" s="1"/>
  <c r="M3261" i="2"/>
  <c r="N3261" i="2" s="1"/>
  <c r="M3262" i="2"/>
  <c r="N3262" i="2" s="1"/>
  <c r="M3263" i="2"/>
  <c r="N3263" i="2" s="1"/>
  <c r="M3264" i="2"/>
  <c r="N3264" i="2" s="1"/>
  <c r="M3265" i="2"/>
  <c r="N3265" i="2" s="1"/>
  <c r="M3266" i="2"/>
  <c r="N3266" i="2" s="1"/>
  <c r="M3267" i="2"/>
  <c r="N3267" i="2" s="1"/>
  <c r="M3268" i="2"/>
  <c r="N3268" i="2" s="1"/>
  <c r="M3269" i="2"/>
  <c r="N3269" i="2" s="1"/>
  <c r="M3270" i="2"/>
  <c r="N3270" i="2" s="1"/>
  <c r="M3271" i="2"/>
  <c r="N3271" i="2" s="1"/>
  <c r="M3272" i="2"/>
  <c r="N3272" i="2" s="1"/>
  <c r="M3273" i="2"/>
  <c r="N3273" i="2" s="1"/>
  <c r="M3274" i="2"/>
  <c r="N3274" i="2" s="1"/>
  <c r="M3275" i="2"/>
  <c r="N3275" i="2" s="1"/>
  <c r="M3276" i="2"/>
  <c r="N3276" i="2" s="1"/>
  <c r="M3277" i="2"/>
  <c r="N3277" i="2" s="1"/>
  <c r="M3278" i="2"/>
  <c r="N3278" i="2" s="1"/>
  <c r="M3279" i="2"/>
  <c r="N3279" i="2" s="1"/>
  <c r="M3280" i="2"/>
  <c r="N3280" i="2" s="1"/>
  <c r="M3281" i="2"/>
  <c r="N3281" i="2" s="1"/>
  <c r="M3282" i="2"/>
  <c r="N3282" i="2" s="1"/>
  <c r="M3283" i="2"/>
  <c r="N3283" i="2" s="1"/>
  <c r="M3284" i="2"/>
  <c r="N3284" i="2" s="1"/>
  <c r="M3285" i="2"/>
  <c r="N3285" i="2" s="1"/>
  <c r="M3286" i="2"/>
  <c r="N3286" i="2" s="1"/>
  <c r="M3287" i="2"/>
  <c r="N3287" i="2" s="1"/>
  <c r="M3288" i="2"/>
  <c r="N3288" i="2" s="1"/>
  <c r="M3289" i="2"/>
  <c r="N3289" i="2" s="1"/>
  <c r="M3290" i="2"/>
  <c r="N3290" i="2" s="1"/>
  <c r="M3291" i="2"/>
  <c r="N3291" i="2" s="1"/>
  <c r="M3292" i="2"/>
  <c r="N3292" i="2" s="1"/>
  <c r="M3293" i="2"/>
  <c r="N3293" i="2" s="1"/>
  <c r="M3294" i="2"/>
  <c r="N3294" i="2" s="1"/>
  <c r="M3295" i="2"/>
  <c r="N3295" i="2" s="1"/>
  <c r="M3296" i="2"/>
  <c r="N3296" i="2" s="1"/>
  <c r="M3297" i="2"/>
  <c r="N3297" i="2" s="1"/>
  <c r="M3298" i="2"/>
  <c r="N3298" i="2" s="1"/>
  <c r="M3299" i="2"/>
  <c r="N3299" i="2" s="1"/>
  <c r="M3335" i="2"/>
  <c r="M3336" i="2"/>
  <c r="N3336" i="2" s="1"/>
  <c r="M3337" i="2"/>
  <c r="N3337" i="2" s="1"/>
  <c r="M3338" i="2"/>
  <c r="N3338" i="2" s="1"/>
  <c r="M3339" i="2"/>
  <c r="N3339" i="2" s="1"/>
  <c r="M3340" i="2"/>
  <c r="N3340" i="2" s="1"/>
  <c r="M3341" i="2"/>
  <c r="N3341" i="2" s="1"/>
  <c r="M3342" i="2"/>
  <c r="N3342" i="2" s="1"/>
  <c r="M3343" i="2"/>
  <c r="N3343" i="2" s="1"/>
  <c r="M3344" i="2"/>
  <c r="N3344" i="2" s="1"/>
  <c r="M3345" i="2"/>
  <c r="N3345" i="2" s="1"/>
  <c r="M3346" i="2"/>
  <c r="N3346" i="2" s="1"/>
  <c r="M3347" i="2"/>
  <c r="N3347" i="2" s="1"/>
  <c r="M3348" i="2"/>
  <c r="N3348" i="2" s="1"/>
  <c r="M3349" i="2"/>
  <c r="N3349" i="2" s="1"/>
  <c r="M3350" i="2"/>
  <c r="N3350" i="2" s="1"/>
  <c r="M3351" i="2"/>
  <c r="N3351" i="2" s="1"/>
  <c r="M3352" i="2"/>
  <c r="N3352" i="2" s="1"/>
  <c r="M3353" i="2"/>
  <c r="N3353" i="2" s="1"/>
  <c r="M3354" i="2"/>
  <c r="N3354" i="2" s="1"/>
  <c r="M3355" i="2"/>
  <c r="N3355" i="2" s="1"/>
  <c r="M3356" i="2"/>
  <c r="N3356" i="2" s="1"/>
  <c r="M3357" i="2"/>
  <c r="N3357" i="2" s="1"/>
  <c r="M3358" i="2"/>
  <c r="N3358" i="2" s="1"/>
  <c r="M3359" i="2"/>
  <c r="N3359" i="2" s="1"/>
  <c r="M3360" i="2"/>
  <c r="N3360" i="2" s="1"/>
  <c r="M3361" i="2"/>
  <c r="N3361" i="2" s="1"/>
  <c r="M3362" i="2"/>
  <c r="N3362" i="2" s="1"/>
  <c r="M3363" i="2"/>
  <c r="N3363" i="2" s="1"/>
  <c r="M3364" i="2"/>
  <c r="N3364" i="2" s="1"/>
  <c r="M3365" i="2"/>
  <c r="N3365" i="2" s="1"/>
  <c r="M3366" i="2"/>
  <c r="N3366" i="2" s="1"/>
  <c r="M3367" i="2"/>
  <c r="N3367" i="2" s="1"/>
  <c r="M3368" i="2"/>
  <c r="N3368" i="2" s="1"/>
  <c r="M3369" i="2"/>
  <c r="N3369" i="2" s="1"/>
  <c r="M3370" i="2"/>
  <c r="N3370" i="2" s="1"/>
  <c r="M3371" i="2"/>
  <c r="N3371" i="2" s="1"/>
  <c r="M3372" i="2"/>
  <c r="N3372" i="2" s="1"/>
  <c r="M3373" i="2"/>
  <c r="N3373" i="2" s="1"/>
  <c r="M3374" i="2"/>
  <c r="N3374" i="2" s="1"/>
  <c r="M3375" i="2"/>
  <c r="N3375" i="2" s="1"/>
  <c r="M3376" i="2"/>
  <c r="N3376" i="2" s="1"/>
  <c r="M3377" i="2"/>
  <c r="N3377" i="2" s="1"/>
  <c r="M3378" i="2"/>
  <c r="N3378" i="2" s="1"/>
  <c r="M3379" i="2"/>
  <c r="N3379" i="2" s="1"/>
  <c r="M3380" i="2"/>
  <c r="N3380" i="2" s="1"/>
  <c r="M3381" i="2"/>
  <c r="N3381" i="2" s="1"/>
  <c r="M3382" i="2"/>
  <c r="N3382" i="2" s="1"/>
  <c r="M3383" i="2"/>
  <c r="N3383" i="2" s="1"/>
  <c r="M3384" i="2"/>
  <c r="N3384" i="2" s="1"/>
  <c r="M3385" i="2"/>
  <c r="N3385" i="2" s="1"/>
  <c r="M3386" i="2"/>
  <c r="N3386" i="2" s="1"/>
  <c r="M3387" i="2"/>
  <c r="N3387" i="2" s="1"/>
  <c r="M3388" i="2"/>
  <c r="N3388" i="2" s="1"/>
  <c r="M3389" i="2"/>
  <c r="N3389" i="2" s="1"/>
  <c r="M3390" i="2"/>
  <c r="N3390" i="2" s="1"/>
  <c r="M3391" i="2"/>
  <c r="N3391" i="2" s="1"/>
  <c r="M3392" i="2"/>
  <c r="N3392" i="2" s="1"/>
  <c r="M3393" i="2"/>
  <c r="N3393" i="2" s="1"/>
  <c r="M3394" i="2"/>
  <c r="N3394" i="2" s="1"/>
  <c r="M3395" i="2"/>
  <c r="N3395" i="2" s="1"/>
  <c r="M3396" i="2"/>
  <c r="N3396" i="2" s="1"/>
  <c r="M3397" i="2"/>
  <c r="N3397" i="2" s="1"/>
  <c r="M3398" i="2"/>
  <c r="N3398" i="2" s="1"/>
  <c r="M3399" i="2"/>
  <c r="N3399" i="2" s="1"/>
  <c r="M3400" i="2"/>
  <c r="N3400" i="2" s="1"/>
  <c r="M3401" i="2"/>
  <c r="N3401" i="2" s="1"/>
  <c r="M3402" i="2"/>
  <c r="N3402" i="2" s="1"/>
  <c r="M3403" i="2"/>
  <c r="N3403" i="2" s="1"/>
  <c r="M3404" i="2"/>
  <c r="N3404" i="2" s="1"/>
  <c r="M3405" i="2"/>
  <c r="N3405" i="2" s="1"/>
  <c r="M3406" i="2"/>
  <c r="N3406" i="2" s="1"/>
  <c r="M3407" i="2"/>
  <c r="N3407" i="2" s="1"/>
  <c r="M3408" i="2"/>
  <c r="N3408" i="2" s="1"/>
  <c r="M3409" i="2"/>
  <c r="N3409" i="2" s="1"/>
  <c r="M3410" i="2"/>
  <c r="N3410" i="2" s="1"/>
  <c r="M3411" i="2"/>
  <c r="N3411" i="2" s="1"/>
  <c r="M3412" i="2"/>
  <c r="N3412" i="2" s="1"/>
  <c r="M3413" i="2"/>
  <c r="N3413" i="2" s="1"/>
  <c r="M3414" i="2"/>
  <c r="N3414" i="2" s="1"/>
  <c r="M3415" i="2"/>
  <c r="N3415" i="2" s="1"/>
  <c r="M3416" i="2"/>
  <c r="N3416" i="2" s="1"/>
  <c r="M3417" i="2"/>
  <c r="N3417" i="2" s="1"/>
  <c r="M2076" i="2"/>
  <c r="M2077" i="2"/>
  <c r="N2077" i="2" s="1"/>
  <c r="M2078" i="2"/>
  <c r="N2078" i="2" s="1"/>
  <c r="M2079" i="2"/>
  <c r="N2079" i="2" s="1"/>
  <c r="M2080" i="2"/>
  <c r="N2080" i="2" s="1"/>
  <c r="M2081" i="2"/>
  <c r="N2081" i="2" s="1"/>
  <c r="M2082" i="2"/>
  <c r="N2082" i="2" s="1"/>
  <c r="M2083" i="2"/>
  <c r="N2083" i="2" s="1"/>
  <c r="M2084" i="2"/>
  <c r="N2084" i="2" s="1"/>
  <c r="M2085" i="2"/>
  <c r="N2085" i="2" s="1"/>
  <c r="M2086" i="2"/>
  <c r="N2086" i="2" s="1"/>
  <c r="M3042" i="2"/>
  <c r="M3043" i="2"/>
  <c r="N3043" i="2" s="1"/>
  <c r="M3044" i="2"/>
  <c r="N3044" i="2" s="1"/>
  <c r="M3045" i="2"/>
  <c r="N3045" i="2" s="1"/>
  <c r="M3046" i="2"/>
  <c r="N3046" i="2" s="1"/>
  <c r="M3047" i="2"/>
  <c r="N3047" i="2" s="1"/>
  <c r="M3048" i="2"/>
  <c r="N3048" i="2" s="1"/>
  <c r="M3049" i="2"/>
  <c r="N3049" i="2" s="1"/>
  <c r="M3050" i="2"/>
  <c r="N3050" i="2" s="1"/>
  <c r="M3051" i="2"/>
  <c r="N3051" i="2" s="1"/>
  <c r="M3052" i="2"/>
  <c r="N3052" i="2" s="1"/>
  <c r="M3053" i="2"/>
  <c r="N3053" i="2" s="1"/>
  <c r="M3054" i="2"/>
  <c r="N3054" i="2" s="1"/>
  <c r="M3055" i="2"/>
  <c r="N3055" i="2" s="1"/>
  <c r="M3056" i="2"/>
  <c r="N3056" i="2" s="1"/>
  <c r="M3057" i="2"/>
  <c r="N3057" i="2" s="1"/>
  <c r="M3058" i="2"/>
  <c r="N3058" i="2" s="1"/>
  <c r="M3059" i="2"/>
  <c r="N3059" i="2" s="1"/>
  <c r="M3060" i="2"/>
  <c r="N3060" i="2" s="1"/>
  <c r="M3061" i="2"/>
  <c r="N3061" i="2" s="1"/>
  <c r="M3062" i="2"/>
  <c r="N3062" i="2" s="1"/>
  <c r="M3063" i="2"/>
  <c r="N3063" i="2" s="1"/>
  <c r="M3064" i="2"/>
  <c r="N3064" i="2" s="1"/>
  <c r="M3065" i="2"/>
  <c r="N3065" i="2" s="1"/>
  <c r="M3066" i="2"/>
  <c r="N3066" i="2" s="1"/>
  <c r="M3067" i="2"/>
  <c r="N3067" i="2" s="1"/>
  <c r="M3068" i="2"/>
  <c r="N3068" i="2" s="1"/>
  <c r="M3069" i="2"/>
  <c r="N3069" i="2" s="1"/>
  <c r="M3070" i="2"/>
  <c r="N3070" i="2" s="1"/>
  <c r="M3071" i="2"/>
  <c r="N3071" i="2" s="1"/>
  <c r="M3072" i="2"/>
  <c r="N3072" i="2" s="1"/>
  <c r="M3073" i="2"/>
  <c r="N3073" i="2" s="1"/>
  <c r="M3074" i="2"/>
  <c r="N3074" i="2" s="1"/>
  <c r="M3075" i="2"/>
  <c r="N3075" i="2" s="1"/>
  <c r="M3076" i="2"/>
  <c r="N3076" i="2" s="1"/>
  <c r="M3077" i="2"/>
  <c r="N3077" i="2" s="1"/>
  <c r="M3078" i="2"/>
  <c r="N3078" i="2" s="1"/>
  <c r="M3079" i="2"/>
  <c r="N3079" i="2" s="1"/>
  <c r="M3080" i="2"/>
  <c r="N3080" i="2" s="1"/>
  <c r="M3081" i="2"/>
  <c r="N3081" i="2" s="1"/>
  <c r="M1283" i="2"/>
  <c r="M1284" i="2"/>
  <c r="N1284" i="2" s="1"/>
  <c r="M1285" i="2"/>
  <c r="N1285" i="2" s="1"/>
  <c r="M1286" i="2"/>
  <c r="N1286" i="2" s="1"/>
  <c r="M1287" i="2"/>
  <c r="N1287" i="2" s="1"/>
  <c r="M1288" i="2"/>
  <c r="N1288" i="2" s="1"/>
  <c r="M1289" i="2"/>
  <c r="N1289" i="2" s="1"/>
  <c r="M1290" i="2"/>
  <c r="N1290" i="2" s="1"/>
  <c r="M1291" i="2"/>
  <c r="N1291" i="2" s="1"/>
  <c r="M1292" i="2"/>
  <c r="N1292" i="2" s="1"/>
  <c r="M1293" i="2"/>
  <c r="N1293" i="2" s="1"/>
  <c r="M1294" i="2"/>
  <c r="N1294" i="2" s="1"/>
  <c r="M1295" i="2"/>
  <c r="N1295" i="2" s="1"/>
  <c r="M1296" i="2"/>
  <c r="N1296" i="2" s="1"/>
  <c r="M1297" i="2"/>
  <c r="N1297" i="2" s="1"/>
  <c r="M1298" i="2"/>
  <c r="N1298" i="2" s="1"/>
  <c r="M1299" i="2"/>
  <c r="N1299" i="2" s="1"/>
  <c r="M1300" i="2"/>
  <c r="N1300" i="2" s="1"/>
  <c r="M1301" i="2"/>
  <c r="N1301" i="2" s="1"/>
  <c r="M1302" i="2"/>
  <c r="N1302" i="2" s="1"/>
  <c r="M1303" i="2"/>
  <c r="N1303" i="2" s="1"/>
  <c r="M1304" i="2"/>
  <c r="N1304" i="2" s="1"/>
  <c r="M1305" i="2"/>
  <c r="N1305" i="2" s="1"/>
  <c r="M1306" i="2"/>
  <c r="N1306" i="2" s="1"/>
  <c r="M1307" i="2"/>
  <c r="N1307" i="2" s="1"/>
  <c r="M1308" i="2"/>
  <c r="N1308" i="2" s="1"/>
  <c r="M1309" i="2"/>
  <c r="N1309" i="2" s="1"/>
  <c r="M1310" i="2"/>
  <c r="N1310" i="2" s="1"/>
  <c r="M1311" i="2"/>
  <c r="N1311" i="2" s="1"/>
  <c r="M1312" i="2"/>
  <c r="N1312" i="2" s="1"/>
  <c r="M1313" i="2"/>
  <c r="N1313" i="2" s="1"/>
  <c r="M1314" i="2"/>
  <c r="N1314" i="2" s="1"/>
  <c r="M1315" i="2"/>
  <c r="N1315" i="2" s="1"/>
  <c r="M1671" i="2"/>
  <c r="M1672" i="2"/>
  <c r="N1672" i="2" s="1"/>
  <c r="M1673" i="2"/>
  <c r="N1673" i="2" s="1"/>
  <c r="M1674" i="2"/>
  <c r="N1674" i="2" s="1"/>
  <c r="M1675" i="2"/>
  <c r="N1675" i="2" s="1"/>
  <c r="M1676" i="2"/>
  <c r="N1676" i="2" s="1"/>
  <c r="M1677" i="2"/>
  <c r="N1677" i="2" s="1"/>
  <c r="M1678" i="2"/>
  <c r="N1678" i="2" s="1"/>
  <c r="M1679" i="2"/>
  <c r="N1679" i="2" s="1"/>
  <c r="M1680" i="2"/>
  <c r="N1680" i="2" s="1"/>
  <c r="M1681" i="2"/>
  <c r="N1681" i="2" s="1"/>
  <c r="M1682" i="2"/>
  <c r="N1682" i="2" s="1"/>
  <c r="M1683" i="2"/>
  <c r="N1683" i="2" s="1"/>
  <c r="M1684" i="2"/>
  <c r="N1684" i="2" s="1"/>
  <c r="M1685" i="2"/>
  <c r="N1685" i="2" s="1"/>
  <c r="M1686" i="2"/>
  <c r="N1686" i="2" s="1"/>
  <c r="M1687" i="2"/>
  <c r="N1687" i="2" s="1"/>
  <c r="M1688" i="2"/>
  <c r="N1688" i="2" s="1"/>
  <c r="M1689" i="2"/>
  <c r="N1689" i="2" s="1"/>
  <c r="M1690" i="2"/>
  <c r="N1690" i="2" s="1"/>
  <c r="M1691" i="2"/>
  <c r="N1691" i="2" s="1"/>
  <c r="M1692" i="2"/>
  <c r="N1692" i="2" s="1"/>
  <c r="M1693" i="2"/>
  <c r="N1693" i="2" s="1"/>
  <c r="M1694" i="2"/>
  <c r="N1694" i="2" s="1"/>
  <c r="M1695" i="2"/>
  <c r="N1695" i="2" s="1"/>
  <c r="M1696" i="2"/>
  <c r="N1696" i="2" s="1"/>
  <c r="M1697" i="2"/>
  <c r="N1697" i="2" s="1"/>
  <c r="M1698" i="2"/>
  <c r="N1698" i="2" s="1"/>
  <c r="M1699" i="2"/>
  <c r="N1699" i="2" s="1"/>
  <c r="M1700" i="2"/>
  <c r="N1700" i="2" s="1"/>
  <c r="M1701" i="2"/>
  <c r="N1701" i="2" s="1"/>
  <c r="M1702" i="2"/>
  <c r="N1702" i="2" s="1"/>
  <c r="M1703" i="2"/>
  <c r="N1703" i="2" s="1"/>
  <c r="M1704" i="2"/>
  <c r="N1704" i="2" s="1"/>
  <c r="M1705" i="2"/>
  <c r="N1705" i="2" s="1"/>
  <c r="M1706" i="2"/>
  <c r="N1706" i="2" s="1"/>
  <c r="M1707" i="2"/>
  <c r="N1707" i="2" s="1"/>
  <c r="M1708" i="2"/>
  <c r="N1708" i="2" s="1"/>
  <c r="M1709" i="2"/>
  <c r="N1709" i="2" s="1"/>
  <c r="M1710" i="2"/>
  <c r="N1710" i="2" s="1"/>
  <c r="M1711" i="2"/>
  <c r="N1711" i="2" s="1"/>
  <c r="M1712" i="2"/>
  <c r="N1712" i="2" s="1"/>
  <c r="M1713" i="2"/>
  <c r="N1713" i="2" s="1"/>
  <c r="M1714" i="2"/>
  <c r="N1714" i="2" s="1"/>
  <c r="M1715" i="2"/>
  <c r="N1715" i="2" s="1"/>
  <c r="M1716" i="2"/>
  <c r="N1716" i="2" s="1"/>
  <c r="M1717" i="2"/>
  <c r="N1717" i="2" s="1"/>
  <c r="M1718" i="2"/>
  <c r="N1718" i="2" s="1"/>
  <c r="M1719" i="2"/>
  <c r="N1719" i="2" s="1"/>
  <c r="M1720" i="2"/>
  <c r="N1720" i="2" s="1"/>
  <c r="M1721" i="2"/>
  <c r="N1721" i="2" s="1"/>
  <c r="M1722" i="2"/>
  <c r="N1722" i="2" s="1"/>
  <c r="M1723" i="2"/>
  <c r="N1723" i="2" s="1"/>
  <c r="M1724" i="2"/>
  <c r="N1724" i="2" s="1"/>
  <c r="M1725" i="2"/>
  <c r="N1725" i="2" s="1"/>
  <c r="M1726" i="2"/>
  <c r="N1726" i="2" s="1"/>
  <c r="M1727" i="2"/>
  <c r="N1727" i="2" s="1"/>
  <c r="M1728" i="2"/>
  <c r="N1728" i="2" s="1"/>
  <c r="M1729" i="2"/>
  <c r="N1729" i="2" s="1"/>
  <c r="M1730" i="2"/>
  <c r="N1730" i="2" s="1"/>
  <c r="M1731" i="2"/>
  <c r="N1731" i="2" s="1"/>
  <c r="M1732" i="2"/>
  <c r="N1732" i="2" s="1"/>
  <c r="M1733" i="2"/>
  <c r="N1733" i="2" s="1"/>
  <c r="M1734" i="2"/>
  <c r="N1734" i="2" s="1"/>
  <c r="M1735" i="2"/>
  <c r="N1735" i="2" s="1"/>
  <c r="M1736" i="2"/>
  <c r="N1736" i="2" s="1"/>
  <c r="M1737" i="2"/>
  <c r="N1737" i="2" s="1"/>
  <c r="M1738" i="2"/>
  <c r="N1738" i="2" s="1"/>
  <c r="M1739" i="2"/>
  <c r="N1739" i="2" s="1"/>
  <c r="M1740" i="2"/>
  <c r="N1740" i="2" s="1"/>
  <c r="M1741" i="2"/>
  <c r="N1741" i="2" s="1"/>
  <c r="M1742" i="2"/>
  <c r="N1742" i="2" s="1"/>
  <c r="M1743" i="2"/>
  <c r="N1743" i="2" s="1"/>
  <c r="M1744" i="2"/>
  <c r="N1744" i="2" s="1"/>
  <c r="M1745" i="2"/>
  <c r="N1745" i="2" s="1"/>
  <c r="M1746" i="2"/>
  <c r="N1746" i="2" s="1"/>
  <c r="M1747" i="2"/>
  <c r="N1747" i="2" s="1"/>
  <c r="M1748" i="2"/>
  <c r="N1748" i="2" s="1"/>
  <c r="M1749" i="2"/>
  <c r="N1749" i="2" s="1"/>
  <c r="M1750" i="2"/>
  <c r="N1750" i="2" s="1"/>
  <c r="M1751" i="2"/>
  <c r="N1751" i="2" s="1"/>
  <c r="M1752" i="2"/>
  <c r="N1752" i="2" s="1"/>
  <c r="M1753" i="2"/>
  <c r="N1753" i="2" s="1"/>
  <c r="M1754" i="2"/>
  <c r="N1754" i="2" s="1"/>
  <c r="M1755" i="2"/>
  <c r="N1755" i="2" s="1"/>
  <c r="M1756" i="2"/>
  <c r="N1756" i="2" s="1"/>
  <c r="M1757" i="2"/>
  <c r="N1757" i="2" s="1"/>
  <c r="M1758" i="2"/>
  <c r="N1758" i="2" s="1"/>
  <c r="M1759" i="2"/>
  <c r="N1759" i="2" s="1"/>
  <c r="M1760" i="2"/>
  <c r="N1760" i="2" s="1"/>
  <c r="M1761" i="2"/>
  <c r="N1761" i="2" s="1"/>
  <c r="M1762" i="2"/>
  <c r="N1762" i="2" s="1"/>
  <c r="M1763" i="2"/>
  <c r="N1763" i="2" s="1"/>
  <c r="N3328" i="2"/>
  <c r="N3329" i="2"/>
  <c r="N3330" i="2"/>
  <c r="M3331" i="2"/>
  <c r="M3334" i="2"/>
  <c r="N3334" i="2" s="1"/>
  <c r="M3418" i="2"/>
  <c r="M3419" i="2"/>
  <c r="N3419" i="2" s="1"/>
  <c r="M3420" i="2"/>
  <c r="N3420" i="2" s="1"/>
  <c r="M3421" i="2"/>
  <c r="N3421" i="2" s="1"/>
  <c r="M3422" i="2"/>
  <c r="N3422" i="2" s="1"/>
  <c r="M3423" i="2"/>
  <c r="N3423" i="2" s="1"/>
  <c r="M3424" i="2"/>
  <c r="N3424" i="2" s="1"/>
  <c r="M3425" i="2"/>
  <c r="N3425" i="2" s="1"/>
  <c r="M3426" i="2"/>
  <c r="N3426" i="2" s="1"/>
  <c r="M65" i="2"/>
  <c r="M66" i="2"/>
  <c r="N66" i="2" s="1"/>
  <c r="M67" i="2"/>
  <c r="N67" i="2" s="1"/>
  <c r="M68" i="2"/>
  <c r="N68" i="2" s="1"/>
  <c r="M69" i="2"/>
  <c r="N69" i="2" s="1"/>
  <c r="M70" i="2"/>
  <c r="N70" i="2" s="1"/>
  <c r="M71" i="2"/>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N88" i="2" s="1"/>
  <c r="M89" i="2"/>
  <c r="N89" i="2" s="1"/>
  <c r="M90" i="2"/>
  <c r="N90" i="2" s="1"/>
  <c r="M91" i="2"/>
  <c r="N91" i="2" s="1"/>
  <c r="M92" i="2"/>
  <c r="M93" i="2"/>
  <c r="N93" i="2" s="1"/>
  <c r="M94" i="2"/>
  <c r="N94" i="2" s="1"/>
  <c r="M95" i="2"/>
  <c r="N95" i="2" s="1"/>
  <c r="M96" i="2"/>
  <c r="N96" i="2" s="1"/>
  <c r="M97" i="2"/>
  <c r="N97" i="2" s="1"/>
  <c r="M98" i="2"/>
  <c r="N98" i="2" s="1"/>
  <c r="M99" i="2"/>
  <c r="N99" i="2" s="1"/>
  <c r="M100" i="2"/>
  <c r="N100" i="2" s="1"/>
  <c r="M101" i="2"/>
  <c r="M102" i="2"/>
  <c r="N102" i="2" s="1"/>
  <c r="M103" i="2"/>
  <c r="N103" i="2" s="1"/>
  <c r="M104" i="2"/>
  <c r="N104" i="2" s="1"/>
  <c r="M105" i="2"/>
  <c r="N105" i="2" s="1"/>
  <c r="M106" i="2"/>
  <c r="N106" i="2" s="1"/>
  <c r="M107" i="2"/>
  <c r="N107" i="2" s="1"/>
  <c r="M108" i="2"/>
  <c r="N108" i="2" s="1"/>
  <c r="M109" i="2"/>
  <c r="N109" i="2" s="1"/>
  <c r="M110" i="2"/>
  <c r="N110" i="2" s="1"/>
  <c r="M111" i="2"/>
  <c r="N111" i="2" s="1"/>
  <c r="M112" i="2"/>
  <c r="N112" i="2" s="1"/>
  <c r="M113" i="2"/>
  <c r="N113" i="2" s="1"/>
  <c r="M114" i="2"/>
  <c r="N114" i="2" s="1"/>
  <c r="M115" i="2"/>
  <c r="N115" i="2" s="1"/>
  <c r="M116" i="2"/>
  <c r="N116" i="2" s="1"/>
  <c r="M117" i="2"/>
  <c r="N117" i="2" s="1"/>
  <c r="M118" i="2"/>
  <c r="N118" i="2" s="1"/>
  <c r="M119" i="2"/>
  <c r="N119" i="2" s="1"/>
  <c r="M120" i="2"/>
  <c r="N120" i="2" s="1"/>
  <c r="M121" i="2"/>
  <c r="N121" i="2" s="1"/>
  <c r="M122" i="2"/>
  <c r="N122" i="2" s="1"/>
  <c r="M123" i="2"/>
  <c r="N123" i="2" s="1"/>
  <c r="M124" i="2"/>
  <c r="N124" i="2" s="1"/>
  <c r="M125" i="2"/>
  <c r="N125" i="2" s="1"/>
  <c r="M126" i="2"/>
  <c r="N126" i="2" s="1"/>
  <c r="M127" i="2"/>
  <c r="N127" i="2" s="1"/>
  <c r="M128" i="2"/>
  <c r="N128" i="2" s="1"/>
  <c r="M129" i="2"/>
  <c r="N129" i="2" s="1"/>
  <c r="M130" i="2"/>
  <c r="N130" i="2" s="1"/>
  <c r="M131" i="2"/>
  <c r="N131" i="2" s="1"/>
  <c r="M132" i="2"/>
  <c r="N132" i="2" s="1"/>
  <c r="M133" i="2"/>
  <c r="N133" i="2" s="1"/>
  <c r="M134" i="2"/>
  <c r="N134" i="2" s="1"/>
  <c r="M135" i="2"/>
  <c r="N135" i="2" s="1"/>
  <c r="M136" i="2"/>
  <c r="N136" i="2" s="1"/>
  <c r="M137" i="2"/>
  <c r="N137" i="2" s="1"/>
  <c r="M138" i="2"/>
  <c r="N138" i="2" s="1"/>
  <c r="M139" i="2"/>
  <c r="N139" i="2" s="1"/>
  <c r="M140" i="2"/>
  <c r="N140" i="2" s="1"/>
  <c r="M141" i="2"/>
  <c r="N141" i="2" s="1"/>
  <c r="M142" i="2"/>
  <c r="N142" i="2" s="1"/>
  <c r="M143" i="2"/>
  <c r="N143" i="2" s="1"/>
  <c r="M144" i="2"/>
  <c r="N144" i="2" s="1"/>
  <c r="M145" i="2"/>
  <c r="N145" i="2" s="1"/>
  <c r="M146" i="2"/>
  <c r="N146" i="2" s="1"/>
  <c r="M147" i="2"/>
  <c r="N147" i="2" s="1"/>
  <c r="M148" i="2"/>
  <c r="N148" i="2" s="1"/>
  <c r="M149" i="2"/>
  <c r="N149" i="2" s="1"/>
  <c r="M150" i="2"/>
  <c r="N150" i="2" s="1"/>
  <c r="M151" i="2"/>
  <c r="N151" i="2" s="1"/>
  <c r="M152" i="2"/>
  <c r="N152" i="2" s="1"/>
  <c r="M153" i="2"/>
  <c r="N153" i="2" s="1"/>
  <c r="M154" i="2"/>
  <c r="N154" i="2" s="1"/>
  <c r="M155" i="2"/>
  <c r="N155" i="2" s="1"/>
  <c r="M156" i="2"/>
  <c r="N156" i="2" s="1"/>
  <c r="M157" i="2"/>
  <c r="N157" i="2" s="1"/>
  <c r="M158" i="2"/>
  <c r="N158" i="2" s="1"/>
  <c r="M159" i="2"/>
  <c r="N159" i="2" s="1"/>
  <c r="M160" i="2"/>
  <c r="N160" i="2" s="1"/>
  <c r="M161" i="2"/>
  <c r="N161" i="2" s="1"/>
  <c r="M162" i="2"/>
  <c r="N162" i="2" s="1"/>
  <c r="M163" i="2"/>
  <c r="N163" i="2" s="1"/>
  <c r="M164" i="2"/>
  <c r="N164" i="2" s="1"/>
  <c r="M165" i="2"/>
  <c r="N165" i="2" s="1"/>
  <c r="M166" i="2"/>
  <c r="N166" i="2" s="1"/>
  <c r="M167" i="2"/>
  <c r="N167" i="2" s="1"/>
  <c r="M168" i="2"/>
  <c r="N168" i="2" s="1"/>
  <c r="M169" i="2"/>
  <c r="N169" i="2" s="1"/>
  <c r="M170" i="2"/>
  <c r="N170" i="2" s="1"/>
  <c r="M171" i="2"/>
  <c r="N171" i="2" s="1"/>
  <c r="M172" i="2"/>
  <c r="N172" i="2" s="1"/>
  <c r="M173" i="2"/>
  <c r="N173" i="2" s="1"/>
  <c r="M174" i="2"/>
  <c r="N174" i="2" s="1"/>
  <c r="M175" i="2"/>
  <c r="N175" i="2" s="1"/>
  <c r="M176" i="2"/>
  <c r="N176" i="2" s="1"/>
  <c r="M177" i="2"/>
  <c r="N177" i="2" s="1"/>
  <c r="M178" i="2"/>
  <c r="N178" i="2" s="1"/>
  <c r="M179" i="2"/>
  <c r="N179" i="2" s="1"/>
  <c r="M180" i="2"/>
  <c r="N180" i="2" s="1"/>
  <c r="M181" i="2"/>
  <c r="N181" i="2" s="1"/>
  <c r="M182" i="2"/>
  <c r="N182" i="2" s="1"/>
  <c r="M183" i="2"/>
  <c r="N183" i="2" s="1"/>
  <c r="M184" i="2"/>
  <c r="N184" i="2" s="1"/>
  <c r="M185" i="2"/>
  <c r="N185" i="2" s="1"/>
  <c r="M186" i="2"/>
  <c r="N186" i="2" s="1"/>
  <c r="M187" i="2"/>
  <c r="N187" i="2" s="1"/>
  <c r="M188" i="2"/>
  <c r="N188" i="2" s="1"/>
  <c r="M189" i="2"/>
  <c r="N189" i="2" s="1"/>
  <c r="M190" i="2"/>
  <c r="N190" i="2" s="1"/>
  <c r="M191" i="2"/>
  <c r="N191" i="2" s="1"/>
  <c r="M192" i="2"/>
  <c r="N192" i="2" s="1"/>
  <c r="M193" i="2"/>
  <c r="N193" i="2" s="1"/>
  <c r="M450" i="2"/>
  <c r="N450" i="2" s="1"/>
  <c r="M451" i="2"/>
  <c r="N451" i="2" s="1"/>
  <c r="M452" i="2"/>
  <c r="N452" i="2" s="1"/>
  <c r="M453" i="2"/>
  <c r="N453" i="2" s="1"/>
  <c r="M454" i="2"/>
  <c r="N454" i="2" s="1"/>
  <c r="M455" i="2"/>
  <c r="N455" i="2" s="1"/>
  <c r="M456" i="2"/>
  <c r="N456" i="2" s="1"/>
  <c r="M457" i="2"/>
  <c r="M458" i="2"/>
  <c r="N458" i="2" s="1"/>
  <c r="M459" i="2"/>
  <c r="N459" i="2" s="1"/>
  <c r="M460" i="2"/>
  <c r="N460" i="2" s="1"/>
  <c r="M461" i="2"/>
  <c r="N461" i="2" s="1"/>
  <c r="M462" i="2"/>
  <c r="N462" i="2" s="1"/>
  <c r="M463" i="2"/>
  <c r="N463" i="2" s="1"/>
  <c r="M464" i="2"/>
  <c r="N464" i="2" s="1"/>
  <c r="M465" i="2"/>
  <c r="N465" i="2" s="1"/>
  <c r="M466" i="2"/>
  <c r="N466" i="2" s="1"/>
  <c r="M467" i="2"/>
  <c r="N467" i="2" s="1"/>
  <c r="M468" i="2"/>
  <c r="N468" i="2" s="1"/>
  <c r="M469" i="2"/>
  <c r="N469" i="2" s="1"/>
  <c r="M470" i="2"/>
  <c r="N470" i="2" s="1"/>
  <c r="M471" i="2"/>
  <c r="N471" i="2" s="1"/>
  <c r="M472" i="2"/>
  <c r="N472" i="2" s="1"/>
  <c r="M473" i="2"/>
  <c r="N473" i="2" s="1"/>
  <c r="M474" i="2"/>
  <c r="N474" i="2" s="1"/>
  <c r="M475" i="2"/>
  <c r="N475" i="2" s="1"/>
  <c r="M476" i="2"/>
  <c r="N476" i="2" s="1"/>
  <c r="M477" i="2"/>
  <c r="N477" i="2" s="1"/>
  <c r="M478" i="2"/>
  <c r="M479" i="2"/>
  <c r="N479" i="2" s="1"/>
  <c r="M480" i="2"/>
  <c r="N480" i="2" s="1"/>
  <c r="M481" i="2"/>
  <c r="N481" i="2" s="1"/>
  <c r="M482" i="2"/>
  <c r="N482" i="2" s="1"/>
  <c r="M483" i="2"/>
  <c r="N483" i="2" s="1"/>
  <c r="M484" i="2"/>
  <c r="N484" i="2" s="1"/>
  <c r="M485" i="2"/>
  <c r="N485" i="2" s="1"/>
  <c r="M486" i="2"/>
  <c r="N486" i="2" s="1"/>
  <c r="M487" i="2"/>
  <c r="N487" i="2" s="1"/>
  <c r="M488" i="2"/>
  <c r="N488" i="2" s="1"/>
  <c r="M489" i="2"/>
  <c r="N489" i="2" s="1"/>
  <c r="M490" i="2"/>
  <c r="N490" i="2" s="1"/>
  <c r="M491" i="2"/>
  <c r="N491" i="2" s="1"/>
  <c r="M492" i="2"/>
  <c r="N492" i="2" s="1"/>
  <c r="M493" i="2"/>
  <c r="N493" i="2" s="1"/>
  <c r="M494" i="2"/>
  <c r="N494" i="2" s="1"/>
  <c r="M495" i="2"/>
  <c r="N495" i="2" s="1"/>
  <c r="M496" i="2"/>
  <c r="N496" i="2" s="1"/>
  <c r="M497" i="2"/>
  <c r="N497" i="2" s="1"/>
  <c r="M498" i="2"/>
  <c r="N498" i="2" s="1"/>
  <c r="M499" i="2"/>
  <c r="N499" i="2" s="1"/>
  <c r="M500" i="2"/>
  <c r="M501" i="2"/>
  <c r="N501" i="2" s="1"/>
  <c r="M502" i="2"/>
  <c r="N502" i="2" s="1"/>
  <c r="M503" i="2"/>
  <c r="N503" i="2" s="1"/>
  <c r="M504" i="2"/>
  <c r="N504" i="2" s="1"/>
  <c r="M505" i="2"/>
  <c r="N505" i="2" s="1"/>
  <c r="M506" i="2"/>
  <c r="N506" i="2" s="1"/>
  <c r="M507" i="2"/>
  <c r="N507" i="2" s="1"/>
  <c r="M508" i="2"/>
  <c r="N508" i="2" s="1"/>
  <c r="M509" i="2"/>
  <c r="N509" i="2" s="1"/>
  <c r="M510" i="2"/>
  <c r="N510" i="2" s="1"/>
  <c r="M511" i="2"/>
  <c r="N511" i="2" s="1"/>
  <c r="M512" i="2"/>
  <c r="N512" i="2" s="1"/>
  <c r="M513" i="2"/>
  <c r="N513" i="2" s="1"/>
  <c r="M514" i="2"/>
  <c r="N514" i="2" s="1"/>
  <c r="M515" i="2"/>
  <c r="N515" i="2" s="1"/>
  <c r="M516" i="2"/>
  <c r="N516" i="2" s="1"/>
  <c r="M517" i="2"/>
  <c r="N517" i="2" s="1"/>
  <c r="M518" i="2"/>
  <c r="N518" i="2" s="1"/>
  <c r="M519" i="2"/>
  <c r="N519" i="2" s="1"/>
  <c r="M520" i="2"/>
  <c r="N520" i="2" s="1"/>
  <c r="M521" i="2"/>
  <c r="N521" i="2" s="1"/>
  <c r="M522" i="2"/>
  <c r="N522" i="2" s="1"/>
  <c r="M523" i="2"/>
  <c r="N523" i="2" s="1"/>
  <c r="M524" i="2"/>
  <c r="N524" i="2" s="1"/>
  <c r="M525" i="2"/>
  <c r="N525" i="2" s="1"/>
  <c r="M526" i="2"/>
  <c r="N526" i="2" s="1"/>
  <c r="M527" i="2"/>
  <c r="N527" i="2" s="1"/>
  <c r="M528" i="2"/>
  <c r="N528" i="2" s="1"/>
  <c r="M529" i="2"/>
  <c r="N529" i="2" s="1"/>
  <c r="M530" i="2"/>
  <c r="N530" i="2" s="1"/>
  <c r="M531" i="2"/>
  <c r="N531" i="2" s="1"/>
  <c r="M532" i="2"/>
  <c r="N532" i="2" s="1"/>
  <c r="M533" i="2"/>
  <c r="N533" i="2" s="1"/>
  <c r="M534" i="2"/>
  <c r="N534" i="2" s="1"/>
  <c r="M535" i="2"/>
  <c r="N535" i="2" s="1"/>
  <c r="M536" i="2"/>
  <c r="N536" i="2" s="1"/>
  <c r="M537" i="2"/>
  <c r="N537" i="2" s="1"/>
  <c r="M538" i="2"/>
  <c r="N538" i="2" s="1"/>
  <c r="M539" i="2"/>
  <c r="N539" i="2" s="1"/>
  <c r="M540" i="2"/>
  <c r="N540" i="2" s="1"/>
  <c r="M541" i="2"/>
  <c r="N541" i="2" s="1"/>
  <c r="M542" i="2"/>
  <c r="N542" i="2" s="1"/>
  <c r="M543" i="2"/>
  <c r="N543" i="2" s="1"/>
  <c r="M544" i="2"/>
  <c r="N544" i="2" s="1"/>
  <c r="M545" i="2"/>
  <c r="N545" i="2" s="1"/>
  <c r="M546" i="2"/>
  <c r="N546" i="2" s="1"/>
  <c r="M547" i="2"/>
  <c r="M548" i="2"/>
  <c r="N548" i="2" s="1"/>
  <c r="M549" i="2"/>
  <c r="N549" i="2" s="1"/>
  <c r="M550" i="2"/>
  <c r="N550" i="2" s="1"/>
  <c r="M551" i="2"/>
  <c r="N551" i="2" s="1"/>
  <c r="M552" i="2"/>
  <c r="N552" i="2" s="1"/>
  <c r="M553" i="2"/>
  <c r="N553" i="2" s="1"/>
  <c r="M554" i="2"/>
  <c r="N554" i="2" s="1"/>
  <c r="M555" i="2"/>
  <c r="N555" i="2" s="1"/>
  <c r="M556" i="2"/>
  <c r="N556" i="2" s="1"/>
  <c r="M557" i="2"/>
  <c r="N557" i="2" s="1"/>
  <c r="M558" i="2"/>
  <c r="N558" i="2" s="1"/>
  <c r="M559" i="2"/>
  <c r="N559" i="2" s="1"/>
  <c r="M560" i="2"/>
  <c r="N560" i="2" s="1"/>
  <c r="M561" i="2"/>
  <c r="N561" i="2" s="1"/>
  <c r="M562" i="2"/>
  <c r="N562" i="2" s="1"/>
  <c r="M563" i="2"/>
  <c r="N563" i="2" s="1"/>
  <c r="M564" i="2"/>
  <c r="N564" i="2" s="1"/>
  <c r="M565" i="2"/>
  <c r="N565" i="2" s="1"/>
  <c r="M566" i="2"/>
  <c r="N566" i="2" s="1"/>
  <c r="M567" i="2"/>
  <c r="N567" i="2" s="1"/>
  <c r="M568" i="2"/>
  <c r="N568" i="2" s="1"/>
  <c r="M569" i="2"/>
  <c r="N569" i="2" s="1"/>
  <c r="M570" i="2"/>
  <c r="N570" i="2" s="1"/>
  <c r="M571" i="2"/>
  <c r="N571" i="2" s="1"/>
  <c r="M572" i="2"/>
  <c r="N572" i="2" s="1"/>
  <c r="M573" i="2"/>
  <c r="N573" i="2" s="1"/>
  <c r="M574" i="2"/>
  <c r="N574" i="2" s="1"/>
  <c r="M575" i="2"/>
  <c r="N575" i="2" s="1"/>
  <c r="M576" i="2"/>
  <c r="N576" i="2" s="1"/>
  <c r="M577" i="2"/>
  <c r="N577" i="2" s="1"/>
  <c r="M578" i="2"/>
  <c r="N578" i="2" s="1"/>
  <c r="M579" i="2"/>
  <c r="N579" i="2" s="1"/>
  <c r="M580" i="2"/>
  <c r="N580" i="2" s="1"/>
  <c r="M581" i="2"/>
  <c r="N581" i="2" s="1"/>
  <c r="M582" i="2"/>
  <c r="N582" i="2" s="1"/>
  <c r="M583" i="2"/>
  <c r="N583" i="2" s="1"/>
  <c r="M584" i="2"/>
  <c r="N584" i="2" s="1"/>
  <c r="M585" i="2"/>
  <c r="N585" i="2" s="1"/>
  <c r="M586" i="2"/>
  <c r="N586" i="2" s="1"/>
  <c r="M587" i="2"/>
  <c r="N587" i="2" s="1"/>
  <c r="M588" i="2"/>
  <c r="N588" i="2" s="1"/>
  <c r="M589" i="2"/>
  <c r="N589" i="2" s="1"/>
  <c r="M590" i="2"/>
  <c r="N590" i="2" s="1"/>
  <c r="M591" i="2"/>
  <c r="N591" i="2" s="1"/>
  <c r="M592" i="2"/>
  <c r="N592" i="2" s="1"/>
  <c r="M593" i="2"/>
  <c r="N593" i="2" s="1"/>
  <c r="M594" i="2"/>
  <c r="N594" i="2" s="1"/>
  <c r="M595" i="2"/>
  <c r="N595" i="2" s="1"/>
  <c r="M596" i="2"/>
  <c r="N596" i="2" s="1"/>
  <c r="M597" i="2"/>
  <c r="N597" i="2" s="1"/>
  <c r="M598" i="2"/>
  <c r="N598" i="2" s="1"/>
  <c r="M599" i="2"/>
  <c r="N599" i="2" s="1"/>
  <c r="M600" i="2"/>
  <c r="N600" i="2" s="1"/>
  <c r="M601" i="2"/>
  <c r="N601" i="2" s="1"/>
  <c r="M602" i="2"/>
  <c r="N602" i="2" s="1"/>
  <c r="M603" i="2"/>
  <c r="N603" i="2" s="1"/>
  <c r="M604" i="2"/>
  <c r="N604" i="2" s="1"/>
  <c r="M605" i="2"/>
  <c r="N605" i="2" s="1"/>
  <c r="M989" i="2"/>
  <c r="M990" i="2"/>
  <c r="N990" i="2" s="1"/>
  <c r="M991" i="2"/>
  <c r="N991" i="2" s="1"/>
  <c r="M992" i="2"/>
  <c r="N992" i="2" s="1"/>
  <c r="M1211" i="2"/>
  <c r="M1212" i="2"/>
  <c r="N1212" i="2" s="1"/>
  <c r="M1213" i="2"/>
  <c r="N1213" i="2" s="1"/>
  <c r="M1214" i="2"/>
  <c r="N1214" i="2" s="1"/>
  <c r="M1215" i="2"/>
  <c r="N1215" i="2" s="1"/>
  <c r="M1216" i="2"/>
  <c r="N1216" i="2" s="1"/>
  <c r="M1217" i="2"/>
  <c r="N1217" i="2" s="1"/>
  <c r="M1218" i="2"/>
  <c r="N1218" i="2" s="1"/>
  <c r="M1219" i="2"/>
  <c r="N1219" i="2" s="1"/>
  <c r="M1220" i="2"/>
  <c r="N1220" i="2" s="1"/>
  <c r="M1221" i="2"/>
  <c r="N1221" i="2" s="1"/>
  <c r="M1222" i="2"/>
  <c r="M1223" i="2"/>
  <c r="N1223" i="2" s="1"/>
  <c r="M1224" i="2"/>
  <c r="M1225" i="2"/>
  <c r="N1225" i="2" s="1"/>
  <c r="M1226" i="2"/>
  <c r="N1226" i="2" s="1"/>
  <c r="M1227" i="2"/>
  <c r="N1227" i="2" s="1"/>
  <c r="M1228" i="2"/>
  <c r="N1228" i="2" s="1"/>
  <c r="M1229" i="2"/>
  <c r="N1229" i="2" s="1"/>
  <c r="M1230" i="2"/>
  <c r="N1230" i="2" s="1"/>
  <c r="M1231" i="2"/>
  <c r="N1231" i="2" s="1"/>
  <c r="M1232" i="2"/>
  <c r="N1232" i="2" s="1"/>
  <c r="M1233" i="2"/>
  <c r="N1233" i="2" s="1"/>
  <c r="M1234" i="2"/>
  <c r="N1234" i="2" s="1"/>
  <c r="M1235" i="2"/>
  <c r="N1235" i="2" s="1"/>
  <c r="M1236" i="2"/>
  <c r="N1236" i="2" s="1"/>
  <c r="M1237" i="2"/>
  <c r="N1237" i="2" s="1"/>
  <c r="M1238" i="2"/>
  <c r="N1238" i="2" s="1"/>
  <c r="M1239" i="2"/>
  <c r="N1239" i="2" s="1"/>
  <c r="M1240" i="2"/>
  <c r="N1240" i="2" s="1"/>
  <c r="M1241" i="2"/>
  <c r="N1241" i="2" s="1"/>
  <c r="M1242" i="2"/>
  <c r="N1242" i="2" s="1"/>
  <c r="M1243" i="2"/>
  <c r="N1243" i="2" s="1"/>
  <c r="M1244" i="2"/>
  <c r="N1244" i="2" s="1"/>
  <c r="M1245" i="2"/>
  <c r="N1245" i="2" s="1"/>
  <c r="M1246" i="2"/>
  <c r="N1246" i="2" s="1"/>
  <c r="M1247" i="2"/>
  <c r="N1247" i="2" s="1"/>
  <c r="M1248" i="2"/>
  <c r="M1249" i="2"/>
  <c r="N1249" i="2" s="1"/>
  <c r="M1250" i="2"/>
  <c r="N1250" i="2" s="1"/>
  <c r="M1251" i="2"/>
  <c r="N1251" i="2" s="1"/>
  <c r="M1252" i="2"/>
  <c r="N1252" i="2" s="1"/>
  <c r="M1253" i="2"/>
  <c r="M1254" i="2"/>
  <c r="N1254" i="2" s="1"/>
  <c r="M1255" i="2"/>
  <c r="N1255" i="2" s="1"/>
  <c r="M1256" i="2"/>
  <c r="N1256" i="2" s="1"/>
  <c r="M1257" i="2"/>
  <c r="N1257" i="2" s="1"/>
  <c r="M1258" i="2"/>
  <c r="N1258" i="2" s="1"/>
  <c r="M1259" i="2"/>
  <c r="M1260" i="2"/>
  <c r="N1260" i="2" s="1"/>
  <c r="M1261" i="2"/>
  <c r="N1261" i="2" s="1"/>
  <c r="M1262" i="2"/>
  <c r="N1262" i="2" s="1"/>
  <c r="M1263" i="2"/>
  <c r="N1263" i="2" s="1"/>
  <c r="M1264" i="2"/>
  <c r="N1264" i="2" s="1"/>
  <c r="M1265" i="2"/>
  <c r="N1265" i="2" s="1"/>
  <c r="M1266" i="2"/>
  <c r="N1266" i="2" s="1"/>
  <c r="M1267" i="2"/>
  <c r="N1267" i="2" s="1"/>
  <c r="M1268" i="2"/>
  <c r="M1269" i="2"/>
  <c r="N1269" i="2" s="1"/>
  <c r="M1270" i="2"/>
  <c r="N1270" i="2" s="1"/>
  <c r="M1271" i="2"/>
  <c r="N1271" i="2" s="1"/>
  <c r="M1272" i="2"/>
  <c r="N1272" i="2" s="1"/>
  <c r="M1273" i="2"/>
  <c r="N1273" i="2" s="1"/>
  <c r="M1274" i="2"/>
  <c r="N1274" i="2" s="1"/>
  <c r="M1275" i="2"/>
  <c r="N1275" i="2" s="1"/>
  <c r="M1276" i="2"/>
  <c r="N1276" i="2" s="1"/>
  <c r="M1277" i="2"/>
  <c r="N1277" i="2" s="1"/>
  <c r="M1278" i="2"/>
  <c r="N1278" i="2" s="1"/>
  <c r="M1279" i="2"/>
  <c r="N1279" i="2" s="1"/>
  <c r="M1280" i="2"/>
  <c r="N1280" i="2" s="1"/>
  <c r="M1281" i="2"/>
  <c r="N1281" i="2" s="1"/>
  <c r="M1282" i="2"/>
  <c r="N1282" i="2" s="1"/>
  <c r="M1316" i="2"/>
  <c r="M1317" i="2"/>
  <c r="N1317" i="2" s="1"/>
  <c r="M1318" i="2"/>
  <c r="N1318" i="2" s="1"/>
  <c r="M1319" i="2"/>
  <c r="N1319" i="2" s="1"/>
  <c r="M1320" i="2"/>
  <c r="N1320" i="2" s="1"/>
  <c r="M1321" i="2"/>
  <c r="N1321" i="2" s="1"/>
  <c r="M1322" i="2"/>
  <c r="N1322" i="2" s="1"/>
  <c r="M1323" i="2"/>
  <c r="N1323" i="2" s="1"/>
  <c r="M1324" i="2"/>
  <c r="N1324" i="2" s="1"/>
  <c r="M1325" i="2"/>
  <c r="N1325" i="2" s="1"/>
  <c r="M1326" i="2"/>
  <c r="N1326" i="2" s="1"/>
  <c r="M1327" i="2"/>
  <c r="N1327" i="2" s="1"/>
  <c r="M1328" i="2"/>
  <c r="N1328" i="2" s="1"/>
  <c r="M1329" i="2"/>
  <c r="N1329" i="2" s="1"/>
  <c r="M1330" i="2"/>
  <c r="N1330" i="2" s="1"/>
  <c r="M1331" i="2"/>
  <c r="N1331" i="2" s="1"/>
  <c r="M1332" i="2"/>
  <c r="N1332" i="2" s="1"/>
  <c r="M1333" i="2"/>
  <c r="N1333" i="2" s="1"/>
  <c r="M1334" i="2"/>
  <c r="N1334" i="2" s="1"/>
  <c r="M1335" i="2"/>
  <c r="N1335" i="2" s="1"/>
  <c r="M1596" i="2"/>
  <c r="M1597" i="2"/>
  <c r="N1597" i="2" s="1"/>
  <c r="M1598" i="2"/>
  <c r="N1598" i="2" s="1"/>
  <c r="M1599" i="2"/>
  <c r="N1599" i="2" s="1"/>
  <c r="M1600" i="2"/>
  <c r="N1600" i="2" s="1"/>
  <c r="M1601" i="2"/>
  <c r="N1601" i="2" s="1"/>
  <c r="M1602" i="2"/>
  <c r="N1602" i="2" s="1"/>
  <c r="M1603" i="2"/>
  <c r="N1603" i="2" s="1"/>
  <c r="M1604" i="2"/>
  <c r="N1604" i="2" s="1"/>
  <c r="M1605" i="2"/>
  <c r="N1605" i="2" s="1"/>
  <c r="M1606" i="2"/>
  <c r="N1606" i="2" s="1"/>
  <c r="M1607" i="2"/>
  <c r="N1607" i="2" s="1"/>
  <c r="M1608" i="2"/>
  <c r="N1608" i="2" s="1"/>
  <c r="M1609" i="2"/>
  <c r="N1609" i="2" s="1"/>
  <c r="M1610" i="2"/>
  <c r="N1610" i="2" s="1"/>
  <c r="M1611" i="2"/>
  <c r="N1611" i="2" s="1"/>
  <c r="M1612" i="2"/>
  <c r="N1612" i="2" s="1"/>
  <c r="M1613" i="2"/>
  <c r="N1613" i="2" s="1"/>
  <c r="M1622" i="2"/>
  <c r="M1624" i="2"/>
  <c r="N1624" i="2" s="1"/>
  <c r="M1625" i="2"/>
  <c r="M1626" i="2"/>
  <c r="N1626" i="2" s="1"/>
  <c r="M1627" i="2"/>
  <c r="N1627" i="2" s="1"/>
  <c r="M1628" i="2"/>
  <c r="N1628" i="2" s="1"/>
  <c r="M1629" i="2"/>
  <c r="N1629" i="2" s="1"/>
  <c r="M1630" i="2"/>
  <c r="N1630" i="2" s="1"/>
  <c r="M1631" i="2"/>
  <c r="N1631" i="2" s="1"/>
  <c r="M1632" i="2"/>
  <c r="N1632" i="2" s="1"/>
  <c r="M1633" i="2"/>
  <c r="N1633" i="2" s="1"/>
  <c r="M1634" i="2"/>
  <c r="N1634" i="2" s="1"/>
  <c r="M1635" i="2"/>
  <c r="N1635" i="2" s="1"/>
  <c r="M1636" i="2"/>
  <c r="N1636" i="2" s="1"/>
  <c r="M1637" i="2"/>
  <c r="N1637" i="2" s="1"/>
  <c r="M1638" i="2"/>
  <c r="N1638" i="2" s="1"/>
  <c r="M1639" i="2"/>
  <c r="N1639" i="2" s="1"/>
  <c r="M1640" i="2"/>
  <c r="N1640" i="2" s="1"/>
  <c r="M1641" i="2"/>
  <c r="N1641" i="2" s="1"/>
  <c r="M1642" i="2"/>
  <c r="N1642" i="2" s="1"/>
  <c r="M1643" i="2"/>
  <c r="N1643" i="2" s="1"/>
  <c r="M1644" i="2"/>
  <c r="N1644" i="2" s="1"/>
  <c r="M1645" i="2"/>
  <c r="N1645" i="2" s="1"/>
  <c r="M1646" i="2"/>
  <c r="N1646" i="2" s="1"/>
  <c r="M1647" i="2"/>
  <c r="N1647" i="2" s="1"/>
  <c r="M1648" i="2"/>
  <c r="N1648" i="2" s="1"/>
  <c r="M1649" i="2"/>
  <c r="N1649" i="2" s="1"/>
  <c r="M1650" i="2"/>
  <c r="N1650" i="2" s="1"/>
  <c r="M1651" i="2"/>
  <c r="N1651" i="2" s="1"/>
  <c r="M1652" i="2"/>
  <c r="N1652" i="2" s="1"/>
  <c r="M1653" i="2"/>
  <c r="N1653" i="2" s="1"/>
  <c r="M1654" i="2"/>
  <c r="N1654" i="2" s="1"/>
  <c r="M1655" i="2"/>
  <c r="N1655" i="2" s="1"/>
  <c r="M1656" i="2"/>
  <c r="N1656" i="2" s="1"/>
  <c r="M1657" i="2"/>
  <c r="N1657" i="2" s="1"/>
  <c r="M1658" i="2"/>
  <c r="N1658" i="2" s="1"/>
  <c r="M1659" i="2"/>
  <c r="N1659" i="2" s="1"/>
  <c r="M1660" i="2"/>
  <c r="N1660" i="2" s="1"/>
  <c r="M1661" i="2"/>
  <c r="N1661" i="2" s="1"/>
  <c r="M1662" i="2"/>
  <c r="N1662" i="2" s="1"/>
  <c r="M1663" i="2"/>
  <c r="N1663" i="2" s="1"/>
  <c r="M1664" i="2"/>
  <c r="N1664" i="2" s="1"/>
  <c r="M1665" i="2"/>
  <c r="N1665" i="2" s="1"/>
  <c r="M1666" i="2"/>
  <c r="N1666" i="2" s="1"/>
  <c r="M1667" i="2"/>
  <c r="N1667" i="2" s="1"/>
  <c r="M1668" i="2"/>
  <c r="N1668" i="2" s="1"/>
  <c r="M1669" i="2"/>
  <c r="N1669" i="2" s="1"/>
  <c r="M1670" i="2"/>
  <c r="N1670" i="2" s="1"/>
  <c r="M1827" i="2"/>
  <c r="M1828" i="2"/>
  <c r="N1828" i="2" s="1"/>
  <c r="M1829" i="2"/>
  <c r="N1829" i="2" s="1"/>
  <c r="M1830" i="2"/>
  <c r="N1830" i="2" s="1"/>
  <c r="M1831" i="2"/>
  <c r="N1831" i="2" s="1"/>
  <c r="M1832" i="2"/>
  <c r="N1832" i="2" s="1"/>
  <c r="M1833" i="2"/>
  <c r="N1833" i="2" s="1"/>
  <c r="M1834" i="2"/>
  <c r="M1835" i="2"/>
  <c r="N1835" i="2" s="1"/>
  <c r="M1836" i="2"/>
  <c r="N1836" i="2" s="1"/>
  <c r="M1837" i="2"/>
  <c r="N1837" i="2" s="1"/>
  <c r="M1838" i="2"/>
  <c r="N1838" i="2" s="1"/>
  <c r="M1839" i="2"/>
  <c r="N1839" i="2" s="1"/>
  <c r="M1840" i="2"/>
  <c r="N1840" i="2" s="1"/>
  <c r="M1566" i="2"/>
  <c r="M1567" i="2"/>
  <c r="N1567" i="2" s="1"/>
  <c r="M1568" i="2"/>
  <c r="N1568" i="2" s="1"/>
  <c r="M1569" i="2"/>
  <c r="N1569" i="2" s="1"/>
  <c r="M1570" i="2"/>
  <c r="N1570" i="2" s="1"/>
  <c r="M1571" i="2"/>
  <c r="N1571" i="2" s="1"/>
  <c r="M1572" i="2"/>
  <c r="N1572" i="2" s="1"/>
  <c r="M1573" i="2"/>
  <c r="N1573" i="2" s="1"/>
  <c r="M1574" i="2"/>
  <c r="N1574" i="2" s="1"/>
  <c r="M1841" i="2"/>
  <c r="M1842" i="2"/>
  <c r="N1842" i="2" s="1"/>
  <c r="M1843" i="2"/>
  <c r="N1843" i="2" s="1"/>
  <c r="M1844" i="2"/>
  <c r="N1844" i="2" s="1"/>
  <c r="M1845" i="2"/>
  <c r="N1845" i="2" s="1"/>
  <c r="M1846" i="2"/>
  <c r="N1846" i="2" s="1"/>
  <c r="M1847" i="2"/>
  <c r="N1847" i="2" s="1"/>
  <c r="M1848" i="2"/>
  <c r="N1848" i="2" s="1"/>
  <c r="M1849" i="2"/>
  <c r="N1849" i="2" s="1"/>
  <c r="M1850" i="2"/>
  <c r="N1850" i="2" s="1"/>
  <c r="M1851" i="2"/>
  <c r="N1851" i="2" s="1"/>
  <c r="M1852" i="2"/>
  <c r="N1852" i="2" s="1"/>
  <c r="M1853" i="2"/>
  <c r="N1853" i="2" s="1"/>
  <c r="M1854" i="2"/>
  <c r="N1854" i="2" s="1"/>
  <c r="M1855" i="2"/>
  <c r="N1855" i="2" s="1"/>
  <c r="M1856" i="2"/>
  <c r="N1856" i="2" s="1"/>
  <c r="M1857" i="2"/>
  <c r="N1857" i="2" s="1"/>
  <c r="M1858" i="2"/>
  <c r="N1858" i="2" s="1"/>
  <c r="M1859" i="2"/>
  <c r="N1859" i="2" s="1"/>
  <c r="M1860" i="2"/>
  <c r="N1860" i="2" s="1"/>
  <c r="M1861" i="2"/>
  <c r="N1861" i="2" s="1"/>
  <c r="M1862" i="2"/>
  <c r="N1862" i="2" s="1"/>
  <c r="M1863" i="2"/>
  <c r="N1863" i="2" s="1"/>
  <c r="M1864" i="2"/>
  <c r="N1864" i="2" s="1"/>
  <c r="M1865" i="2"/>
  <c r="N1865" i="2" s="1"/>
  <c r="M1866" i="2"/>
  <c r="N1866" i="2" s="1"/>
  <c r="M1867" i="2"/>
  <c r="N1867" i="2" s="1"/>
  <c r="M1868" i="2"/>
  <c r="N1868" i="2" s="1"/>
  <c r="M1869" i="2"/>
  <c r="N1869" i="2" s="1"/>
  <c r="M1870" i="2"/>
  <c r="N1870" i="2" s="1"/>
  <c r="M1871" i="2"/>
  <c r="N1871" i="2" s="1"/>
  <c r="M1872" i="2"/>
  <c r="N1872" i="2" s="1"/>
  <c r="M1873" i="2"/>
  <c r="N1873" i="2" s="1"/>
  <c r="M1874" i="2"/>
  <c r="N1874" i="2" s="1"/>
  <c r="M1875" i="2"/>
  <c r="N1875" i="2" s="1"/>
  <c r="M1876" i="2"/>
  <c r="N1876" i="2" s="1"/>
  <c r="M1877" i="2"/>
  <c r="N1877" i="2" s="1"/>
  <c r="M1878" i="2"/>
  <c r="N1878" i="2" s="1"/>
  <c r="M1879" i="2"/>
  <c r="N1879" i="2" s="1"/>
  <c r="M1880" i="2"/>
  <c r="N1880" i="2" s="1"/>
  <c r="M1881" i="2"/>
  <c r="N1881" i="2" s="1"/>
  <c r="M1882" i="2"/>
  <c r="N1882" i="2" s="1"/>
  <c r="M1883" i="2"/>
  <c r="N1883" i="2" s="1"/>
  <c r="M1884" i="2"/>
  <c r="N1884" i="2" s="1"/>
  <c r="M1885" i="2"/>
  <c r="N1885" i="2" s="1"/>
  <c r="M1886" i="2"/>
  <c r="N1886" i="2" s="1"/>
  <c r="M1887" i="2"/>
  <c r="N1887" i="2" s="1"/>
  <c r="M1888" i="2"/>
  <c r="N1888" i="2" s="1"/>
  <c r="M1889" i="2"/>
  <c r="N1889" i="2" s="1"/>
  <c r="M1890" i="2"/>
  <c r="N1890" i="2" s="1"/>
  <c r="M1891" i="2"/>
  <c r="N1891" i="2" s="1"/>
  <c r="M1892" i="2"/>
  <c r="N1892" i="2" s="1"/>
  <c r="M1893" i="2"/>
  <c r="N1893" i="2" s="1"/>
  <c r="M1894" i="2"/>
  <c r="N1894" i="2" s="1"/>
  <c r="M1895" i="2"/>
  <c r="N1895" i="2" s="1"/>
  <c r="M1896" i="2"/>
  <c r="N1896" i="2" s="1"/>
  <c r="M1897" i="2"/>
  <c r="N1897" i="2" s="1"/>
  <c r="M1898" i="2"/>
  <c r="N1898" i="2" s="1"/>
  <c r="M1899" i="2"/>
  <c r="N1899" i="2" s="1"/>
  <c r="M1900" i="2"/>
  <c r="N1900" i="2" s="1"/>
  <c r="M1901" i="2"/>
  <c r="N1901" i="2" s="1"/>
  <c r="M1997" i="2"/>
  <c r="M1998" i="2"/>
  <c r="N1998" i="2" s="1"/>
  <c r="M1999" i="2"/>
  <c r="N1999" i="2" s="1"/>
  <c r="M2000" i="2"/>
  <c r="N2000" i="2" s="1"/>
  <c r="M2001" i="2"/>
  <c r="N2001" i="2" s="1"/>
  <c r="M2002" i="2"/>
  <c r="N2002" i="2" s="1"/>
  <c r="M2003" i="2"/>
  <c r="N2003" i="2" s="1"/>
  <c r="M2004" i="2"/>
  <c r="N2004" i="2" s="1"/>
  <c r="M2005" i="2"/>
  <c r="N2005" i="2" s="1"/>
  <c r="M2006" i="2"/>
  <c r="N2006" i="2" s="1"/>
  <c r="M2007" i="2"/>
  <c r="N2007" i="2" s="1"/>
  <c r="M2008" i="2"/>
  <c r="N2008" i="2" s="1"/>
  <c r="M2009" i="2"/>
  <c r="N2009" i="2" s="1"/>
  <c r="M2010" i="2"/>
  <c r="N2010" i="2" s="1"/>
  <c r="M2011" i="2"/>
  <c r="N2011" i="2" s="1"/>
  <c r="M2012" i="2"/>
  <c r="N2012" i="2" s="1"/>
  <c r="M2013" i="2"/>
  <c r="N2013" i="2" s="1"/>
  <c r="M2014" i="2"/>
  <c r="N2014" i="2" s="1"/>
  <c r="M2015" i="2"/>
  <c r="N2015" i="2" s="1"/>
  <c r="M2016" i="2"/>
  <c r="N2016" i="2" s="1"/>
  <c r="M2033" i="2"/>
  <c r="M2034" i="2"/>
  <c r="N2034" i="2" s="1"/>
  <c r="M2035" i="2"/>
  <c r="N2035" i="2" s="1"/>
  <c r="M2036" i="2"/>
  <c r="N2036" i="2" s="1"/>
  <c r="M2037" i="2"/>
  <c r="N2037" i="2" s="1"/>
  <c r="M2038" i="2"/>
  <c r="N2038" i="2" s="1"/>
  <c r="M2039" i="2"/>
  <c r="N2039" i="2" s="1"/>
  <c r="M2040" i="2"/>
  <c r="N2040" i="2" s="1"/>
  <c r="M2041" i="2"/>
  <c r="N2041" i="2" s="1"/>
  <c r="M2042" i="2"/>
  <c r="N2042" i="2" s="1"/>
  <c r="M2043" i="2"/>
  <c r="N2043" i="2" s="1"/>
  <c r="M2044" i="2"/>
  <c r="N2044" i="2" s="1"/>
  <c r="M2045" i="2"/>
  <c r="N2045" i="2" s="1"/>
  <c r="M2046" i="2"/>
  <c r="N2046" i="2" s="1"/>
  <c r="M2047" i="2"/>
  <c r="N2047" i="2" s="1"/>
  <c r="M2048" i="2"/>
  <c r="N2048" i="2" s="1"/>
  <c r="M2049" i="2"/>
  <c r="N2049" i="2" s="1"/>
  <c r="M2050" i="2"/>
  <c r="N2050" i="2" s="1"/>
  <c r="M2051" i="2"/>
  <c r="N2051" i="2" s="1"/>
  <c r="M2052" i="2"/>
  <c r="N2052" i="2" s="1"/>
  <c r="M2053" i="2"/>
  <c r="N2053" i="2" s="1"/>
  <c r="M2054" i="2"/>
  <c r="N2054" i="2" s="1"/>
  <c r="M2055" i="2"/>
  <c r="N2055" i="2" s="1"/>
  <c r="M2056" i="2"/>
  <c r="N2056" i="2" s="1"/>
  <c r="M2057" i="2"/>
  <c r="N2057" i="2" s="1"/>
  <c r="M2058" i="2"/>
  <c r="N2058" i="2" s="1"/>
  <c r="M2059" i="2"/>
  <c r="N2059" i="2" s="1"/>
  <c r="M2060" i="2"/>
  <c r="N2060" i="2" s="1"/>
  <c r="M2061" i="2"/>
  <c r="N2061" i="2" s="1"/>
  <c r="M2062" i="2"/>
  <c r="N2062" i="2" s="1"/>
  <c r="M2063" i="2"/>
  <c r="N2063" i="2" s="1"/>
  <c r="M2064" i="2"/>
  <c r="N2064" i="2" s="1"/>
  <c r="M2065" i="2"/>
  <c r="N2065" i="2" s="1"/>
  <c r="M2066" i="2"/>
  <c r="N2066" i="2" s="1"/>
  <c r="M2067" i="2"/>
  <c r="N2067" i="2" s="1"/>
  <c r="M2068" i="2"/>
  <c r="N2068" i="2" s="1"/>
  <c r="M2069" i="2"/>
  <c r="N2069" i="2" s="1"/>
  <c r="M2070" i="2"/>
  <c r="N2070" i="2" s="1"/>
  <c r="M2071" i="2"/>
  <c r="N2071" i="2" s="1"/>
  <c r="M2072" i="2"/>
  <c r="N2072" i="2" s="1"/>
  <c r="M2073" i="2"/>
  <c r="N2073" i="2" s="1"/>
  <c r="M2074" i="2"/>
  <c r="N2074" i="2" s="1"/>
  <c r="M2075" i="2"/>
  <c r="N2075" i="2" s="1"/>
  <c r="M2087" i="2"/>
  <c r="M2088" i="2"/>
  <c r="N2088" i="2" s="1"/>
  <c r="M2089" i="2"/>
  <c r="N2089" i="2" s="1"/>
  <c r="M2090" i="2"/>
  <c r="N2090" i="2" s="1"/>
  <c r="M2091" i="2"/>
  <c r="N2091" i="2" s="1"/>
  <c r="M2092" i="2"/>
  <c r="N2092" i="2" s="1"/>
  <c r="M2093" i="2"/>
  <c r="N2093" i="2" s="1"/>
  <c r="M2094" i="2"/>
  <c r="N2094" i="2" s="1"/>
  <c r="M2095" i="2"/>
  <c r="N2095" i="2" s="1"/>
  <c r="M2096" i="2"/>
  <c r="N2096" i="2" s="1"/>
  <c r="M2097" i="2"/>
  <c r="N2097" i="2" s="1"/>
  <c r="M2098" i="2"/>
  <c r="N2098" i="2" s="1"/>
  <c r="M2099" i="2"/>
  <c r="N2099" i="2" s="1"/>
  <c r="M2100" i="2"/>
  <c r="N2100" i="2" s="1"/>
  <c r="M2101" i="2"/>
  <c r="N2101" i="2" s="1"/>
  <c r="M2102" i="2"/>
  <c r="N2102" i="2" s="1"/>
  <c r="M2103" i="2"/>
  <c r="N2103" i="2" s="1"/>
  <c r="M2104" i="2"/>
  <c r="N2104" i="2" s="1"/>
  <c r="M2105" i="2"/>
  <c r="N2105" i="2" s="1"/>
  <c r="M2106" i="2"/>
  <c r="N2106" i="2" s="1"/>
  <c r="M2107" i="2"/>
  <c r="N2107" i="2" s="1"/>
  <c r="M2108" i="2"/>
  <c r="N2108" i="2" s="1"/>
  <c r="M2109" i="2"/>
  <c r="N2109" i="2" s="1"/>
  <c r="M2110" i="2"/>
  <c r="N2110" i="2" s="1"/>
  <c r="M2111" i="2"/>
  <c r="N2111" i="2" s="1"/>
  <c r="M2112" i="2"/>
  <c r="N2112" i="2" s="1"/>
  <c r="M2113" i="2"/>
  <c r="N2113" i="2" s="1"/>
  <c r="M2114" i="2"/>
  <c r="N2114" i="2" s="1"/>
  <c r="M2115" i="2"/>
  <c r="N2115" i="2" s="1"/>
  <c r="M2116" i="2"/>
  <c r="N2116" i="2" s="1"/>
  <c r="M2117" i="2"/>
  <c r="N2117" i="2" s="1"/>
  <c r="M2118" i="2"/>
  <c r="N2118" i="2" s="1"/>
  <c r="M2119" i="2"/>
  <c r="N2119" i="2" s="1"/>
  <c r="M2120" i="2"/>
  <c r="N2120" i="2" s="1"/>
  <c r="M2121" i="2"/>
  <c r="N2121" i="2" s="1"/>
  <c r="M2122" i="2"/>
  <c r="N2122" i="2" s="1"/>
  <c r="M2123" i="2"/>
  <c r="N2123" i="2" s="1"/>
  <c r="M2124" i="2"/>
  <c r="N2124" i="2" s="1"/>
  <c r="M2125" i="2"/>
  <c r="N2125" i="2" s="1"/>
  <c r="M2126" i="2"/>
  <c r="N2126" i="2" s="1"/>
  <c r="M2127" i="2"/>
  <c r="N2127" i="2" s="1"/>
  <c r="M2128" i="2"/>
  <c r="N2128" i="2" s="1"/>
  <c r="M2129" i="2"/>
  <c r="N2129" i="2" s="1"/>
  <c r="M2130" i="2"/>
  <c r="N2130" i="2" s="1"/>
  <c r="M2131" i="2"/>
  <c r="N2131" i="2" s="1"/>
  <c r="M2132" i="2"/>
  <c r="N2132" i="2" s="1"/>
  <c r="M2133" i="2"/>
  <c r="N2133" i="2" s="1"/>
  <c r="M2134" i="2"/>
  <c r="N2134" i="2" s="1"/>
  <c r="M2135" i="2"/>
  <c r="N2135" i="2" s="1"/>
  <c r="M2136" i="2"/>
  <c r="N2136" i="2" s="1"/>
  <c r="M2137" i="2"/>
  <c r="N2137" i="2" s="1"/>
  <c r="M2138" i="2"/>
  <c r="N2138" i="2" s="1"/>
  <c r="M2139" i="2"/>
  <c r="N2139" i="2" s="1"/>
  <c r="M2140" i="2"/>
  <c r="N2140" i="2" s="1"/>
  <c r="M2141" i="2"/>
  <c r="N2141" i="2" s="1"/>
  <c r="M2142" i="2"/>
  <c r="N2142" i="2" s="1"/>
  <c r="M2143" i="2"/>
  <c r="N2143" i="2" s="1"/>
  <c r="M2144" i="2"/>
  <c r="N2144" i="2" s="1"/>
  <c r="M2145" i="2"/>
  <c r="N2145" i="2" s="1"/>
  <c r="M2146" i="2"/>
  <c r="N2146" i="2" s="1"/>
  <c r="M2147" i="2"/>
  <c r="N2147" i="2" s="1"/>
  <c r="M2148" i="2"/>
  <c r="N2148" i="2" s="1"/>
  <c r="M2149" i="2"/>
  <c r="N2149" i="2" s="1"/>
  <c r="M2150" i="2"/>
  <c r="N2150" i="2" s="1"/>
  <c r="M2151" i="2"/>
  <c r="N2151" i="2" s="1"/>
  <c r="M2152" i="2"/>
  <c r="N2152" i="2" s="1"/>
  <c r="M2153" i="2"/>
  <c r="N2153" i="2" s="1"/>
  <c r="M2154" i="2"/>
  <c r="N2154" i="2" s="1"/>
  <c r="M2155" i="2"/>
  <c r="N2155" i="2" s="1"/>
  <c r="M2156" i="2"/>
  <c r="N2156" i="2" s="1"/>
  <c r="M2157" i="2"/>
  <c r="N2157" i="2" s="1"/>
  <c r="M2158" i="2"/>
  <c r="N2158" i="2" s="1"/>
  <c r="M2159" i="2"/>
  <c r="N2159" i="2" s="1"/>
  <c r="M2160" i="2"/>
  <c r="N2160" i="2" s="1"/>
  <c r="M2161" i="2"/>
  <c r="N2161" i="2" s="1"/>
  <c r="M2162" i="2"/>
  <c r="N2162" i="2" s="1"/>
  <c r="M2163" i="2"/>
  <c r="N2163" i="2" s="1"/>
  <c r="M2164" i="2"/>
  <c r="N2164" i="2" s="1"/>
  <c r="M2165" i="2"/>
  <c r="N2165" i="2" s="1"/>
  <c r="M2166" i="2"/>
  <c r="N2166" i="2" s="1"/>
  <c r="M2167" i="2"/>
  <c r="N2167" i="2" s="1"/>
  <c r="M2168" i="2"/>
  <c r="N2168" i="2" s="1"/>
  <c r="M2169" i="2"/>
  <c r="N2169" i="2" s="1"/>
  <c r="M2170" i="2"/>
  <c r="N2170" i="2" s="1"/>
  <c r="M2171" i="2"/>
  <c r="N2171" i="2" s="1"/>
  <c r="M2172" i="2"/>
  <c r="N2172" i="2" s="1"/>
  <c r="M2173" i="2"/>
  <c r="N2173" i="2" s="1"/>
  <c r="M2174" i="2"/>
  <c r="N2174" i="2" s="1"/>
  <c r="M2175" i="2"/>
  <c r="N2175" i="2" s="1"/>
  <c r="M2176" i="2"/>
  <c r="N2176" i="2" s="1"/>
  <c r="M2177" i="2"/>
  <c r="N2177" i="2" s="1"/>
  <c r="M2178" i="2"/>
  <c r="N2178" i="2" s="1"/>
  <c r="M2179" i="2"/>
  <c r="N2179" i="2" s="1"/>
  <c r="M2180" i="2"/>
  <c r="N2180" i="2" s="1"/>
  <c r="M2181" i="2"/>
  <c r="N2181" i="2" s="1"/>
  <c r="M2182" i="2"/>
  <c r="N2182" i="2" s="1"/>
  <c r="M2183" i="2"/>
  <c r="N2183" i="2" s="1"/>
  <c r="M2184" i="2"/>
  <c r="N2184" i="2" s="1"/>
  <c r="M2185" i="2"/>
  <c r="N2185" i="2" s="1"/>
  <c r="M2186" i="2"/>
  <c r="N2186" i="2" s="1"/>
  <c r="M2187" i="2"/>
  <c r="N2187" i="2" s="1"/>
  <c r="M2188" i="2"/>
  <c r="N2188" i="2" s="1"/>
  <c r="M2189" i="2"/>
  <c r="N2189" i="2" s="1"/>
  <c r="M2190" i="2"/>
  <c r="N2190" i="2" s="1"/>
  <c r="M2191" i="2"/>
  <c r="N2191" i="2" s="1"/>
  <c r="M2192" i="2"/>
  <c r="N2192" i="2" s="1"/>
  <c r="M2193" i="2"/>
  <c r="N2193" i="2" s="1"/>
  <c r="M2194" i="2"/>
  <c r="N2194" i="2" s="1"/>
  <c r="M2195" i="2"/>
  <c r="N2195" i="2" s="1"/>
  <c r="M2196" i="2"/>
  <c r="N2196" i="2" s="1"/>
  <c r="M2197" i="2"/>
  <c r="N2197" i="2" s="1"/>
  <c r="M2198" i="2"/>
  <c r="N2198" i="2" s="1"/>
  <c r="M2199" i="2"/>
  <c r="N2199" i="2" s="1"/>
  <c r="M2200" i="2"/>
  <c r="N2200" i="2" s="1"/>
  <c r="M2201" i="2"/>
  <c r="N2201" i="2" s="1"/>
  <c r="M2202" i="2"/>
  <c r="N2202" i="2" s="1"/>
  <c r="M2203" i="2"/>
  <c r="N2203" i="2" s="1"/>
  <c r="M2204" i="2"/>
  <c r="N2204" i="2" s="1"/>
  <c r="M2205" i="2"/>
  <c r="N2205" i="2" s="1"/>
  <c r="M2206" i="2"/>
  <c r="N2206" i="2" s="1"/>
  <c r="M2207" i="2"/>
  <c r="N2207" i="2" s="1"/>
  <c r="M2208" i="2"/>
  <c r="N2208" i="2" s="1"/>
  <c r="M2209" i="2"/>
  <c r="N2209" i="2" s="1"/>
  <c r="M2210" i="2"/>
  <c r="N2210" i="2" s="1"/>
  <c r="M2211" i="2"/>
  <c r="N2211" i="2" s="1"/>
  <c r="M2212" i="2"/>
  <c r="N2212" i="2" s="1"/>
  <c r="M2213" i="2"/>
  <c r="N2213" i="2" s="1"/>
  <c r="M2214" i="2"/>
  <c r="N2214" i="2" s="1"/>
  <c r="M2215" i="2"/>
  <c r="N2215" i="2" s="1"/>
  <c r="M2216" i="2"/>
  <c r="N2216" i="2" s="1"/>
  <c r="M2217" i="2"/>
  <c r="N2217" i="2" s="1"/>
  <c r="M2218" i="2"/>
  <c r="N2218" i="2" s="1"/>
  <c r="M2219" i="2"/>
  <c r="N2219" i="2" s="1"/>
  <c r="M2220" i="2"/>
  <c r="N2220" i="2" s="1"/>
  <c r="M2221" i="2"/>
  <c r="N2221" i="2" s="1"/>
  <c r="M2222" i="2"/>
  <c r="N2222" i="2" s="1"/>
  <c r="M2223" i="2"/>
  <c r="N2223" i="2" s="1"/>
  <c r="M2224" i="2"/>
  <c r="N2224" i="2" s="1"/>
  <c r="M2225" i="2"/>
  <c r="N2225" i="2" s="1"/>
  <c r="M2226" i="2"/>
  <c r="N2226" i="2" s="1"/>
  <c r="M2227" i="2"/>
  <c r="N2227" i="2" s="1"/>
  <c r="M2228" i="2"/>
  <c r="N2228" i="2" s="1"/>
  <c r="M2229" i="2"/>
  <c r="N2229" i="2" s="1"/>
  <c r="M2230" i="2"/>
  <c r="N2230" i="2" s="1"/>
  <c r="M2231" i="2"/>
  <c r="N2231" i="2" s="1"/>
  <c r="M2232" i="2"/>
  <c r="N2232" i="2" s="1"/>
  <c r="M2233" i="2"/>
  <c r="N2233" i="2" s="1"/>
  <c r="M2234" i="2"/>
  <c r="N2234" i="2" s="1"/>
  <c r="M2235" i="2"/>
  <c r="N2235" i="2" s="1"/>
  <c r="M2236" i="2"/>
  <c r="N2236" i="2" s="1"/>
  <c r="M2237" i="2"/>
  <c r="N2237" i="2" s="1"/>
  <c r="M2238" i="2"/>
  <c r="N2238" i="2" s="1"/>
  <c r="M2239" i="2"/>
  <c r="N2239" i="2" s="1"/>
  <c r="M2240" i="2"/>
  <c r="N2240" i="2" s="1"/>
  <c r="M2241" i="2"/>
  <c r="N2241" i="2" s="1"/>
  <c r="M2242" i="2"/>
  <c r="N2242" i="2" s="1"/>
  <c r="M2243" i="2"/>
  <c r="N2243" i="2" s="1"/>
  <c r="M2244" i="2"/>
  <c r="N2244" i="2" s="1"/>
  <c r="M2245" i="2"/>
  <c r="N2245" i="2" s="1"/>
  <c r="M2246" i="2"/>
  <c r="N2246" i="2" s="1"/>
  <c r="M2247" i="2"/>
  <c r="N2247" i="2" s="1"/>
  <c r="M2248" i="2"/>
  <c r="N2248" i="2" s="1"/>
  <c r="M2249" i="2"/>
  <c r="N2249" i="2" s="1"/>
  <c r="M2250" i="2"/>
  <c r="N2250" i="2" s="1"/>
  <c r="M2251" i="2"/>
  <c r="N2251" i="2" s="1"/>
  <c r="M2252" i="2"/>
  <c r="N2252" i="2" s="1"/>
  <c r="M2253" i="2"/>
  <c r="N2253" i="2" s="1"/>
  <c r="M2254" i="2"/>
  <c r="N2254" i="2" s="1"/>
  <c r="M2255" i="2"/>
  <c r="N2255" i="2" s="1"/>
  <c r="M2256" i="2"/>
  <c r="N2256" i="2" s="1"/>
  <c r="M2257" i="2"/>
  <c r="N2257" i="2" s="1"/>
  <c r="M2258" i="2"/>
  <c r="N2258" i="2" s="1"/>
  <c r="M2259" i="2"/>
  <c r="N2259" i="2" s="1"/>
  <c r="M2260" i="2"/>
  <c r="N2260" i="2" s="1"/>
  <c r="M2261" i="2"/>
  <c r="N2261" i="2" s="1"/>
  <c r="M2262" i="2"/>
  <c r="N2262" i="2" s="1"/>
  <c r="M2263" i="2"/>
  <c r="N2263" i="2" s="1"/>
  <c r="M2264" i="2"/>
  <c r="N2264" i="2" s="1"/>
  <c r="M2265" i="2"/>
  <c r="N2265" i="2" s="1"/>
  <c r="M2266" i="2"/>
  <c r="N2266" i="2" s="1"/>
  <c r="M2267" i="2"/>
  <c r="N2267" i="2" s="1"/>
  <c r="M2268" i="2"/>
  <c r="N2268" i="2" s="1"/>
  <c r="M2269" i="2"/>
  <c r="N2269" i="2" s="1"/>
  <c r="M2270" i="2"/>
  <c r="N2270" i="2" s="1"/>
  <c r="M2271" i="2"/>
  <c r="N2271" i="2" s="1"/>
  <c r="M2272" i="2"/>
  <c r="N2272" i="2" s="1"/>
  <c r="M2273" i="2"/>
  <c r="N2273" i="2" s="1"/>
  <c r="M2274" i="2"/>
  <c r="N2274" i="2" s="1"/>
  <c r="M2275" i="2"/>
  <c r="N2275" i="2" s="1"/>
  <c r="M2276" i="2"/>
  <c r="N2276" i="2" s="1"/>
  <c r="M2277" i="2"/>
  <c r="N2277" i="2" s="1"/>
  <c r="M2278" i="2"/>
  <c r="N2278" i="2" s="1"/>
  <c r="M2279" i="2"/>
  <c r="N2279" i="2" s="1"/>
  <c r="M2280" i="2"/>
  <c r="N2280" i="2" s="1"/>
  <c r="M2281" i="2"/>
  <c r="N2281" i="2" s="1"/>
  <c r="M2282" i="2"/>
  <c r="N2282" i="2" s="1"/>
  <c r="M2283" i="2"/>
  <c r="N2283" i="2" s="1"/>
  <c r="M2284" i="2"/>
  <c r="N2284" i="2" s="1"/>
  <c r="M2285" i="2"/>
  <c r="N2285" i="2" s="1"/>
  <c r="M2286" i="2"/>
  <c r="N2286" i="2" s="1"/>
  <c r="M2287" i="2"/>
  <c r="N2287" i="2" s="1"/>
  <c r="M2288" i="2"/>
  <c r="N2288" i="2" s="1"/>
  <c r="M2289" i="2"/>
  <c r="N2289" i="2" s="1"/>
  <c r="M2290" i="2"/>
  <c r="N2290" i="2" s="1"/>
  <c r="M2291" i="2"/>
  <c r="N2291" i="2" s="1"/>
  <c r="M2292" i="2"/>
  <c r="N2292" i="2" s="1"/>
  <c r="M2293" i="2"/>
  <c r="N2293" i="2" s="1"/>
  <c r="M2294" i="2"/>
  <c r="N2294" i="2" s="1"/>
  <c r="M2295" i="2"/>
  <c r="N2295" i="2" s="1"/>
  <c r="M2296" i="2"/>
  <c r="N2296" i="2" s="1"/>
  <c r="M2297" i="2"/>
  <c r="N2297" i="2" s="1"/>
  <c r="M2298" i="2"/>
  <c r="N2298" i="2" s="1"/>
  <c r="M2299" i="2"/>
  <c r="N2299" i="2" s="1"/>
  <c r="M2300" i="2"/>
  <c r="N2300" i="2" s="1"/>
  <c r="M2301" i="2"/>
  <c r="N2301" i="2" s="1"/>
  <c r="M2302" i="2"/>
  <c r="N2302" i="2" s="1"/>
  <c r="M2303" i="2"/>
  <c r="N2303" i="2" s="1"/>
  <c r="M2304" i="2"/>
  <c r="N2304" i="2" s="1"/>
  <c r="M2305" i="2"/>
  <c r="N2305" i="2" s="1"/>
  <c r="M2306" i="2"/>
  <c r="N2306" i="2" s="1"/>
  <c r="M2307" i="2"/>
  <c r="N2307" i="2" s="1"/>
  <c r="M2308" i="2"/>
  <c r="N2308" i="2" s="1"/>
  <c r="M2309" i="2"/>
  <c r="N2309" i="2" s="1"/>
  <c r="M2310" i="2"/>
  <c r="N2310" i="2" s="1"/>
  <c r="M2311" i="2"/>
  <c r="N2311" i="2" s="1"/>
  <c r="M2312" i="2"/>
  <c r="N2312" i="2" s="1"/>
  <c r="M2313" i="2"/>
  <c r="N2313" i="2" s="1"/>
  <c r="M2314" i="2"/>
  <c r="N2314" i="2" s="1"/>
  <c r="M2315" i="2"/>
  <c r="N2315" i="2" s="1"/>
  <c r="M2316" i="2"/>
  <c r="N2316" i="2" s="1"/>
  <c r="M2317" i="2"/>
  <c r="N2317" i="2" s="1"/>
  <c r="M2318" i="2"/>
  <c r="N2318" i="2" s="1"/>
  <c r="M2319" i="2"/>
  <c r="N2319" i="2" s="1"/>
  <c r="M2393" i="2"/>
  <c r="M2394" i="2"/>
  <c r="N2394" i="2" s="1"/>
  <c r="M2395" i="2"/>
  <c r="N2395" i="2" s="1"/>
  <c r="M2396" i="2"/>
  <c r="N2396" i="2" s="1"/>
  <c r="M2397" i="2"/>
  <c r="N2397" i="2" s="1"/>
  <c r="M2398" i="2"/>
  <c r="N2398" i="2" s="1"/>
  <c r="M2399" i="2"/>
  <c r="N2399" i="2" s="1"/>
  <c r="M2400" i="2"/>
  <c r="N2400" i="2" s="1"/>
  <c r="M2401" i="2"/>
  <c r="N2401" i="2" s="1"/>
  <c r="M2402" i="2"/>
  <c r="N2402" i="2" s="1"/>
  <c r="M2403" i="2"/>
  <c r="N2403" i="2" s="1"/>
  <c r="M2404" i="2"/>
  <c r="N2404" i="2" s="1"/>
  <c r="M2405" i="2"/>
  <c r="N2405" i="2" s="1"/>
  <c r="M2406" i="2"/>
  <c r="N2406" i="2" s="1"/>
  <c r="M2407" i="2"/>
  <c r="N2407" i="2" s="1"/>
  <c r="M2408" i="2"/>
  <c r="N2408" i="2" s="1"/>
  <c r="M2409" i="2"/>
  <c r="N2409" i="2" s="1"/>
  <c r="M2410" i="2"/>
  <c r="N2410" i="2" s="1"/>
  <c r="M2411" i="2"/>
  <c r="N2411" i="2" s="1"/>
  <c r="M2412" i="2"/>
  <c r="N2412" i="2" s="1"/>
  <c r="M2413" i="2"/>
  <c r="N2413" i="2" s="1"/>
  <c r="M2414" i="2"/>
  <c r="N2414" i="2" s="1"/>
  <c r="M2415" i="2"/>
  <c r="N2415" i="2" s="1"/>
  <c r="M2416" i="2"/>
  <c r="N2416" i="2" s="1"/>
  <c r="M2417" i="2"/>
  <c r="N2417" i="2" s="1"/>
  <c r="M2418" i="2"/>
  <c r="N2418" i="2" s="1"/>
  <c r="M2419" i="2"/>
  <c r="N2419" i="2" s="1"/>
  <c r="M2420" i="2"/>
  <c r="N2420" i="2" s="1"/>
  <c r="M2421" i="2"/>
  <c r="N2421" i="2" s="1"/>
  <c r="M2422" i="2"/>
  <c r="N2422" i="2" s="1"/>
  <c r="M2423" i="2"/>
  <c r="N2423" i="2" s="1"/>
  <c r="M2424" i="2"/>
  <c r="N2424" i="2" s="1"/>
  <c r="M2425" i="2"/>
  <c r="N2425" i="2" s="1"/>
  <c r="M2426" i="2"/>
  <c r="N2426" i="2" s="1"/>
  <c r="M2427" i="2"/>
  <c r="N2427" i="2" s="1"/>
  <c r="M2428" i="2"/>
  <c r="N2428" i="2" s="1"/>
  <c r="M2429" i="2"/>
  <c r="N2429" i="2" s="1"/>
  <c r="M2430" i="2"/>
  <c r="N2430" i="2" s="1"/>
  <c r="M2431" i="2"/>
  <c r="N2431" i="2" s="1"/>
  <c r="M2432" i="2"/>
  <c r="N2432" i="2" s="1"/>
  <c r="M2433" i="2"/>
  <c r="N2433" i="2" s="1"/>
  <c r="M2434" i="2"/>
  <c r="N2434" i="2" s="1"/>
  <c r="M2435" i="2"/>
  <c r="N2435" i="2" s="1"/>
  <c r="M2436" i="2"/>
  <c r="N2436" i="2" s="1"/>
  <c r="M2437" i="2"/>
  <c r="N2437" i="2" s="1"/>
  <c r="M2438" i="2"/>
  <c r="N2438" i="2" s="1"/>
  <c r="M2439" i="2"/>
  <c r="N2439" i="2" s="1"/>
  <c r="M2440" i="2"/>
  <c r="N2440" i="2" s="1"/>
  <c r="M2441" i="2"/>
  <c r="N2441" i="2" s="1"/>
  <c r="M2442" i="2"/>
  <c r="N2442" i="2" s="1"/>
  <c r="M2443" i="2"/>
  <c r="N2443" i="2" s="1"/>
  <c r="M2444" i="2"/>
  <c r="N2444" i="2" s="1"/>
  <c r="M2445" i="2"/>
  <c r="N2445" i="2" s="1"/>
  <c r="M2446" i="2"/>
  <c r="N2446" i="2" s="1"/>
  <c r="M2447" i="2"/>
  <c r="N2447" i="2" s="1"/>
  <c r="M2448" i="2"/>
  <c r="N2448" i="2" s="1"/>
  <c r="M2449" i="2"/>
  <c r="N2449" i="2" s="1"/>
  <c r="M2450" i="2"/>
  <c r="N2450" i="2" s="1"/>
  <c r="M2451" i="2"/>
  <c r="N2451" i="2" s="1"/>
  <c r="M2452" i="2"/>
  <c r="N2452" i="2" s="1"/>
  <c r="M2453" i="2"/>
  <c r="N2453" i="2" s="1"/>
  <c r="M2454" i="2"/>
  <c r="N2454" i="2" s="1"/>
  <c r="M2455" i="2"/>
  <c r="N2455" i="2" s="1"/>
  <c r="M2456" i="2"/>
  <c r="N2456" i="2" s="1"/>
  <c r="M2457" i="2"/>
  <c r="N2457" i="2" s="1"/>
  <c r="M2458" i="2"/>
  <c r="N2458" i="2" s="1"/>
  <c r="M2459" i="2"/>
  <c r="N2459" i="2" s="1"/>
  <c r="M2460" i="2"/>
  <c r="N2460" i="2" s="1"/>
  <c r="M2461" i="2"/>
  <c r="N2461" i="2" s="1"/>
  <c r="M2462" i="2"/>
  <c r="N2462" i="2" s="1"/>
  <c r="M2463" i="2"/>
  <c r="N2463" i="2" s="1"/>
  <c r="M2464" i="2"/>
  <c r="N2464" i="2" s="1"/>
  <c r="M2465" i="2"/>
  <c r="N2465" i="2" s="1"/>
  <c r="M2466" i="2"/>
  <c r="N2466" i="2" s="1"/>
  <c r="M2467" i="2"/>
  <c r="N2467" i="2" s="1"/>
  <c r="M2468" i="2"/>
  <c r="N2468" i="2" s="1"/>
  <c r="M2469" i="2"/>
  <c r="N2469" i="2" s="1"/>
  <c r="M2470" i="2"/>
  <c r="N2470" i="2" s="1"/>
  <c r="M2471" i="2"/>
  <c r="N2471" i="2" s="1"/>
  <c r="M2472" i="2"/>
  <c r="N2472" i="2" s="1"/>
  <c r="M2473" i="2"/>
  <c r="N2473" i="2" s="1"/>
  <c r="M2474" i="2"/>
  <c r="N2474" i="2" s="1"/>
  <c r="M2475" i="2"/>
  <c r="N2475" i="2" s="1"/>
  <c r="M2476" i="2"/>
  <c r="N2476" i="2" s="1"/>
  <c r="M2477" i="2"/>
  <c r="N2477" i="2" s="1"/>
  <c r="M2478" i="2"/>
  <c r="N2478" i="2" s="1"/>
  <c r="M2479" i="2"/>
  <c r="N2479" i="2" s="1"/>
  <c r="M2480" i="2"/>
  <c r="N2480" i="2" s="1"/>
  <c r="M2481" i="2"/>
  <c r="N2481" i="2" s="1"/>
  <c r="M2482" i="2"/>
  <c r="N2482" i="2" s="1"/>
  <c r="M2483" i="2"/>
  <c r="N2483" i="2" s="1"/>
  <c r="M2484" i="2"/>
  <c r="N2484" i="2" s="1"/>
  <c r="M2485" i="2"/>
  <c r="N2485" i="2" s="1"/>
  <c r="M2486" i="2"/>
  <c r="N2486" i="2" s="1"/>
  <c r="M2487" i="2"/>
  <c r="N2487" i="2" s="1"/>
  <c r="M2488" i="2"/>
  <c r="N2488" i="2" s="1"/>
  <c r="M2489" i="2"/>
  <c r="N2489" i="2" s="1"/>
  <c r="M2490" i="2"/>
  <c r="N2490" i="2" s="1"/>
  <c r="M2491" i="2"/>
  <c r="N2491" i="2" s="1"/>
  <c r="M2492" i="2"/>
  <c r="N2492" i="2" s="1"/>
  <c r="M2493" i="2"/>
  <c r="N2493" i="2" s="1"/>
  <c r="M2494" i="2"/>
  <c r="N2494" i="2" s="1"/>
  <c r="M2495" i="2"/>
  <c r="N2495" i="2" s="1"/>
  <c r="M2496" i="2"/>
  <c r="N2496" i="2" s="1"/>
  <c r="M2497" i="2"/>
  <c r="N2497" i="2" s="1"/>
  <c r="M2498" i="2"/>
  <c r="N2498" i="2" s="1"/>
  <c r="M2499" i="2"/>
  <c r="N2499" i="2" s="1"/>
  <c r="M2500" i="2"/>
  <c r="N2500" i="2" s="1"/>
  <c r="M2501" i="2"/>
  <c r="N2501" i="2" s="1"/>
  <c r="M2502" i="2"/>
  <c r="N2502" i="2" s="1"/>
  <c r="M2503" i="2"/>
  <c r="N2503" i="2" s="1"/>
  <c r="M2504" i="2"/>
  <c r="N2504" i="2" s="1"/>
  <c r="M2505" i="2"/>
  <c r="N2505" i="2" s="1"/>
  <c r="M2506" i="2"/>
  <c r="N2506" i="2" s="1"/>
  <c r="M2507" i="2"/>
  <c r="N2507" i="2" s="1"/>
  <c r="M2508" i="2"/>
  <c r="N2508" i="2" s="1"/>
  <c r="M2509" i="2"/>
  <c r="N2509" i="2" s="1"/>
  <c r="M2510" i="2"/>
  <c r="N2510" i="2" s="1"/>
  <c r="M2511" i="2"/>
  <c r="N2511" i="2" s="1"/>
  <c r="M2512" i="2"/>
  <c r="N2512" i="2" s="1"/>
  <c r="M2513" i="2"/>
  <c r="N2513" i="2" s="1"/>
  <c r="M2514" i="2"/>
  <c r="N2514" i="2" s="1"/>
  <c r="M2515" i="2"/>
  <c r="N2515" i="2" s="1"/>
  <c r="M2516" i="2"/>
  <c r="N2516" i="2" s="1"/>
  <c r="M2517" i="2"/>
  <c r="N2517" i="2" s="1"/>
  <c r="M2518" i="2"/>
  <c r="N2518" i="2" s="1"/>
  <c r="M2519" i="2"/>
  <c r="N2519" i="2" s="1"/>
  <c r="M2520" i="2"/>
  <c r="N2520" i="2" s="1"/>
  <c r="M2521" i="2"/>
  <c r="N2521" i="2" s="1"/>
  <c r="M2522" i="2"/>
  <c r="N2522" i="2" s="1"/>
  <c r="M2523" i="2"/>
  <c r="N2523" i="2" s="1"/>
  <c r="M2524" i="2"/>
  <c r="N2524" i="2" s="1"/>
  <c r="M2525" i="2"/>
  <c r="N2525" i="2" s="1"/>
  <c r="M2526" i="2"/>
  <c r="N2526" i="2" s="1"/>
  <c r="M2527" i="2"/>
  <c r="N2527" i="2" s="1"/>
  <c r="M2528" i="2"/>
  <c r="N2528" i="2" s="1"/>
  <c r="M2529" i="2"/>
  <c r="N2529" i="2" s="1"/>
  <c r="M2530" i="2"/>
  <c r="N2530" i="2" s="1"/>
  <c r="M2531" i="2"/>
  <c r="N2531" i="2" s="1"/>
  <c r="M2532" i="2"/>
  <c r="N2532" i="2" s="1"/>
  <c r="M2533" i="2"/>
  <c r="N2533" i="2" s="1"/>
  <c r="M2534" i="2"/>
  <c r="N2534" i="2" s="1"/>
  <c r="M2535" i="2"/>
  <c r="N2535" i="2" s="1"/>
  <c r="M2536" i="2"/>
  <c r="N2536" i="2" s="1"/>
  <c r="M2537" i="2"/>
  <c r="N2537" i="2" s="1"/>
  <c r="M2538" i="2"/>
  <c r="N2538" i="2" s="1"/>
  <c r="M2539" i="2"/>
  <c r="N2539" i="2" s="1"/>
  <c r="M2540" i="2"/>
  <c r="N2540" i="2" s="1"/>
  <c r="M2541" i="2"/>
  <c r="N2541" i="2" s="1"/>
  <c r="M2542" i="2"/>
  <c r="N2542" i="2" s="1"/>
  <c r="M2543" i="2"/>
  <c r="N2543" i="2" s="1"/>
  <c r="M2544" i="2"/>
  <c r="N2544" i="2" s="1"/>
  <c r="M2545" i="2"/>
  <c r="N2545" i="2" s="1"/>
  <c r="M2546" i="2"/>
  <c r="N2546" i="2" s="1"/>
  <c r="M2547" i="2"/>
  <c r="N2547" i="2" s="1"/>
  <c r="M2548" i="2"/>
  <c r="N2548" i="2" s="1"/>
  <c r="M2549" i="2"/>
  <c r="N2549" i="2" s="1"/>
  <c r="M2550" i="2"/>
  <c r="N2550" i="2" s="1"/>
  <c r="M2551" i="2"/>
  <c r="N2551" i="2" s="1"/>
  <c r="M2552" i="2"/>
  <c r="N2552" i="2" s="1"/>
  <c r="M2553" i="2"/>
  <c r="N2553" i="2" s="1"/>
  <c r="M2554" i="2"/>
  <c r="N2554" i="2" s="1"/>
  <c r="M2555" i="2"/>
  <c r="N2555" i="2" s="1"/>
  <c r="M2556" i="2"/>
  <c r="N2556" i="2" s="1"/>
  <c r="M2557" i="2"/>
  <c r="N2557" i="2" s="1"/>
  <c r="M2558" i="2"/>
  <c r="N2558" i="2" s="1"/>
  <c r="M2559" i="2"/>
  <c r="N2559" i="2" s="1"/>
  <c r="M2560" i="2"/>
  <c r="N2560" i="2" s="1"/>
  <c r="M2561" i="2"/>
  <c r="N2561" i="2" s="1"/>
  <c r="M2562" i="2"/>
  <c r="N2562" i="2" s="1"/>
  <c r="M2563" i="2"/>
  <c r="N2563" i="2" s="1"/>
  <c r="M2564" i="2"/>
  <c r="N2564" i="2" s="1"/>
  <c r="M2565" i="2"/>
  <c r="N2565" i="2" s="1"/>
  <c r="M2566" i="2"/>
  <c r="N2566" i="2" s="1"/>
  <c r="M2567" i="2"/>
  <c r="N2567" i="2" s="1"/>
  <c r="M2568" i="2"/>
  <c r="N2568" i="2" s="1"/>
  <c r="M2569" i="2"/>
  <c r="N2569" i="2" s="1"/>
  <c r="M2570" i="2"/>
  <c r="N2570" i="2" s="1"/>
  <c r="M2571" i="2"/>
  <c r="N2571" i="2" s="1"/>
  <c r="M2572" i="2"/>
  <c r="N2572" i="2" s="1"/>
  <c r="M2573" i="2"/>
  <c r="N2573" i="2" s="1"/>
  <c r="M2574" i="2"/>
  <c r="N2574" i="2" s="1"/>
  <c r="M2575" i="2"/>
  <c r="N2575" i="2" s="1"/>
  <c r="M2576" i="2"/>
  <c r="N2576" i="2" s="1"/>
  <c r="M2577" i="2"/>
  <c r="N2577" i="2" s="1"/>
  <c r="M2578" i="2"/>
  <c r="N2578" i="2" s="1"/>
  <c r="M2579" i="2"/>
  <c r="N2579" i="2" s="1"/>
  <c r="M2580" i="2"/>
  <c r="N2580" i="2" s="1"/>
  <c r="M2581" i="2"/>
  <c r="N2581" i="2" s="1"/>
  <c r="M2582" i="2"/>
  <c r="N2582" i="2" s="1"/>
  <c r="M2583" i="2"/>
  <c r="N2583" i="2" s="1"/>
  <c r="M2584" i="2"/>
  <c r="N2584" i="2" s="1"/>
  <c r="M2585" i="2"/>
  <c r="N2585" i="2" s="1"/>
  <c r="M2586" i="2"/>
  <c r="N2586" i="2" s="1"/>
  <c r="M2587" i="2"/>
  <c r="N2587" i="2" s="1"/>
  <c r="M2588" i="2"/>
  <c r="N2588" i="2" s="1"/>
  <c r="M2589" i="2"/>
  <c r="N2589" i="2" s="1"/>
  <c r="M2590" i="2"/>
  <c r="N2590" i="2" s="1"/>
  <c r="M2681" i="2"/>
  <c r="M2682" i="2"/>
  <c r="N2682" i="2" s="1"/>
  <c r="M2683" i="2"/>
  <c r="N2683" i="2" s="1"/>
  <c r="M2684" i="2"/>
  <c r="N2684" i="2" s="1"/>
  <c r="M2685" i="2"/>
  <c r="N2685" i="2" s="1"/>
  <c r="M2686" i="2"/>
  <c r="N2686" i="2" s="1"/>
  <c r="M2687" i="2"/>
  <c r="N2687" i="2" s="1"/>
  <c r="M2688" i="2"/>
  <c r="N2688" i="2" s="1"/>
  <c r="M2689" i="2"/>
  <c r="N2689" i="2" s="1"/>
  <c r="M2690" i="2"/>
  <c r="N2690" i="2" s="1"/>
  <c r="M2691" i="2"/>
  <c r="N2691" i="2" s="1"/>
  <c r="M2692" i="2"/>
  <c r="N2692" i="2" s="1"/>
  <c r="M2693" i="2"/>
  <c r="N2693" i="2" s="1"/>
  <c r="M2694" i="2"/>
  <c r="N2694" i="2" s="1"/>
  <c r="M2695" i="2"/>
  <c r="N2695" i="2" s="1"/>
  <c r="M2696" i="2"/>
  <c r="N2696" i="2" s="1"/>
  <c r="M2697" i="2"/>
  <c r="N2697" i="2" s="1"/>
  <c r="M2698" i="2"/>
  <c r="N2698" i="2" s="1"/>
  <c r="M2699" i="2"/>
  <c r="N2699" i="2" s="1"/>
  <c r="M2700" i="2"/>
  <c r="N2700" i="2" s="1"/>
  <c r="M2701" i="2"/>
  <c r="N2701" i="2" s="1"/>
  <c r="M2702" i="2"/>
  <c r="N2702" i="2" s="1"/>
  <c r="M2703" i="2"/>
  <c r="N2703" i="2" s="1"/>
  <c r="M2704" i="2"/>
  <c r="N2704" i="2" s="1"/>
  <c r="M2705" i="2"/>
  <c r="N2705" i="2" s="1"/>
  <c r="M2706" i="2"/>
  <c r="N2706" i="2" s="1"/>
  <c r="M2707" i="2"/>
  <c r="N2707" i="2" s="1"/>
  <c r="M2708" i="2"/>
  <c r="N2708" i="2" s="1"/>
  <c r="M2709" i="2"/>
  <c r="N2709" i="2" s="1"/>
  <c r="M2710" i="2"/>
  <c r="N2710" i="2" s="1"/>
  <c r="M2711" i="2"/>
  <c r="N2711" i="2" s="1"/>
  <c r="M2712" i="2"/>
  <c r="N2712" i="2" s="1"/>
  <c r="M2713" i="2"/>
  <c r="N2713" i="2" s="1"/>
  <c r="M2714" i="2"/>
  <c r="N2714" i="2" s="1"/>
  <c r="M2715" i="2"/>
  <c r="N2715" i="2" s="1"/>
  <c r="M2716" i="2"/>
  <c r="N2716" i="2" s="1"/>
  <c r="M2717" i="2"/>
  <c r="N2717" i="2" s="1"/>
  <c r="M2718" i="2"/>
  <c r="N2718" i="2" s="1"/>
  <c r="M2719" i="2"/>
  <c r="N2719" i="2" s="1"/>
  <c r="M2720" i="2"/>
  <c r="N2720" i="2" s="1"/>
  <c r="M2721" i="2"/>
  <c r="N2721" i="2" s="1"/>
  <c r="M2722" i="2"/>
  <c r="N2722" i="2" s="1"/>
  <c r="M2723" i="2"/>
  <c r="N2723" i="2" s="1"/>
  <c r="M2724" i="2"/>
  <c r="N2724" i="2" s="1"/>
  <c r="M2725" i="2"/>
  <c r="N2725" i="2" s="1"/>
  <c r="M2726" i="2"/>
  <c r="N2726" i="2" s="1"/>
  <c r="M2727" i="2"/>
  <c r="N2727" i="2" s="1"/>
  <c r="M2728" i="2"/>
  <c r="N2728" i="2" s="1"/>
  <c r="M2729" i="2"/>
  <c r="N2729" i="2" s="1"/>
  <c r="M2730" i="2"/>
  <c r="N2730" i="2" s="1"/>
  <c r="M2731" i="2"/>
  <c r="N2731" i="2" s="1"/>
  <c r="M2732" i="2"/>
  <c r="N2732" i="2" s="1"/>
  <c r="M2733" i="2"/>
  <c r="N2733" i="2" s="1"/>
  <c r="M2734" i="2"/>
  <c r="N2734" i="2" s="1"/>
  <c r="M2735" i="2"/>
  <c r="N2735" i="2" s="1"/>
  <c r="M2736" i="2"/>
  <c r="N2736" i="2" s="1"/>
  <c r="M2737" i="2"/>
  <c r="N2737" i="2" s="1"/>
  <c r="M2738" i="2"/>
  <c r="N2738" i="2" s="1"/>
  <c r="M2739" i="2"/>
  <c r="N2739" i="2" s="1"/>
  <c r="M2740" i="2"/>
  <c r="N2740" i="2" s="1"/>
  <c r="M2741" i="2"/>
  <c r="N2741" i="2" s="1"/>
  <c r="M2742" i="2"/>
  <c r="N2742" i="2" s="1"/>
  <c r="M2743" i="2"/>
  <c r="N2743" i="2" s="1"/>
  <c r="M2744" i="2"/>
  <c r="N2744" i="2" s="1"/>
  <c r="M2745" i="2"/>
  <c r="N2745" i="2" s="1"/>
  <c r="M2746" i="2"/>
  <c r="N2746" i="2" s="1"/>
  <c r="M2747" i="2"/>
  <c r="N2747" i="2" s="1"/>
  <c r="M2748" i="2"/>
  <c r="N2748" i="2" s="1"/>
  <c r="M2749" i="2"/>
  <c r="N2749" i="2" s="1"/>
  <c r="M2750" i="2"/>
  <c r="N2750" i="2" s="1"/>
  <c r="M2751" i="2"/>
  <c r="N2751" i="2" s="1"/>
  <c r="M2752" i="2"/>
  <c r="N2752" i="2" s="1"/>
  <c r="M2753" i="2"/>
  <c r="N2753" i="2" s="1"/>
  <c r="M2754" i="2"/>
  <c r="N2754" i="2" s="1"/>
  <c r="M2755" i="2"/>
  <c r="N2755" i="2" s="1"/>
  <c r="M2756" i="2"/>
  <c r="N2756" i="2" s="1"/>
  <c r="M2757" i="2"/>
  <c r="N2757" i="2" s="1"/>
  <c r="M2758" i="2"/>
  <c r="N2758" i="2" s="1"/>
  <c r="M2759" i="2"/>
  <c r="N2759" i="2" s="1"/>
  <c r="M2760" i="2"/>
  <c r="N2760" i="2" s="1"/>
  <c r="M2761" i="2"/>
  <c r="N2761" i="2" s="1"/>
  <c r="M2762" i="2"/>
  <c r="N2762" i="2" s="1"/>
  <c r="M2763" i="2"/>
  <c r="N2763" i="2" s="1"/>
  <c r="M2764" i="2"/>
  <c r="N2764" i="2" s="1"/>
  <c r="M2765" i="2"/>
  <c r="N2765" i="2" s="1"/>
  <c r="M2766" i="2"/>
  <c r="N2766" i="2" s="1"/>
  <c r="M2767" i="2"/>
  <c r="N2767" i="2" s="1"/>
  <c r="M2768" i="2"/>
  <c r="N2768" i="2" s="1"/>
  <c r="M2769" i="2"/>
  <c r="N2769" i="2" s="1"/>
  <c r="M2770" i="2"/>
  <c r="N2770" i="2" s="1"/>
  <c r="M2771" i="2"/>
  <c r="N2771" i="2" s="1"/>
  <c r="M2772" i="2"/>
  <c r="N2772" i="2" s="1"/>
  <c r="M2773" i="2"/>
  <c r="N2773" i="2" s="1"/>
  <c r="M2774" i="2"/>
  <c r="N2774" i="2" s="1"/>
  <c r="M2775" i="2"/>
  <c r="N2775" i="2" s="1"/>
  <c r="M2776" i="2"/>
  <c r="N2776" i="2" s="1"/>
  <c r="M2777" i="2"/>
  <c r="N2777" i="2" s="1"/>
  <c r="M2778" i="2"/>
  <c r="N2778" i="2" s="1"/>
  <c r="M2779" i="2"/>
  <c r="N2779" i="2" s="1"/>
  <c r="M2780" i="2"/>
  <c r="N2780" i="2" s="1"/>
  <c r="M2781" i="2"/>
  <c r="N2781" i="2" s="1"/>
  <c r="M2782" i="2"/>
  <c r="N2782" i="2" s="1"/>
  <c r="M2783" i="2"/>
  <c r="N2783" i="2" s="1"/>
  <c r="M2784" i="2"/>
  <c r="N2784" i="2" s="1"/>
  <c r="M2785" i="2"/>
  <c r="N2785" i="2" s="1"/>
  <c r="M2786" i="2"/>
  <c r="N2786" i="2" s="1"/>
  <c r="M2787" i="2"/>
  <c r="N2787" i="2" s="1"/>
  <c r="M2788" i="2"/>
  <c r="N2788" i="2" s="1"/>
  <c r="M2789" i="2"/>
  <c r="N2789" i="2" s="1"/>
  <c r="M2790" i="2"/>
  <c r="N2790" i="2" s="1"/>
  <c r="M2791" i="2"/>
  <c r="N2791" i="2" s="1"/>
  <c r="M2792" i="2"/>
  <c r="N2792" i="2" s="1"/>
  <c r="M2793" i="2"/>
  <c r="N2793" i="2" s="1"/>
  <c r="M2794" i="2"/>
  <c r="N2794" i="2" s="1"/>
  <c r="M2795" i="2"/>
  <c r="N2795" i="2" s="1"/>
  <c r="M2796" i="2"/>
  <c r="N2796" i="2" s="1"/>
  <c r="M2797" i="2"/>
  <c r="N2797" i="2" s="1"/>
  <c r="M2798" i="2"/>
  <c r="N2798" i="2" s="1"/>
  <c r="M2799" i="2"/>
  <c r="N2799" i="2" s="1"/>
  <c r="M2800" i="2"/>
  <c r="N2800" i="2" s="1"/>
  <c r="M2801" i="2"/>
  <c r="N2801" i="2" s="1"/>
  <c r="M2802" i="2"/>
  <c r="N2802" i="2" s="1"/>
  <c r="M2803" i="2"/>
  <c r="N2803" i="2" s="1"/>
  <c r="M2804" i="2"/>
  <c r="N2804" i="2" s="1"/>
  <c r="M2805" i="2"/>
  <c r="N2805" i="2" s="1"/>
  <c r="M2806" i="2"/>
  <c r="N2806" i="2" s="1"/>
  <c r="M2807" i="2"/>
  <c r="N2807" i="2" s="1"/>
  <c r="M2808" i="2"/>
  <c r="N2808" i="2" s="1"/>
  <c r="M2809" i="2"/>
  <c r="N2809" i="2" s="1"/>
  <c r="M2810" i="2"/>
  <c r="N2810" i="2" s="1"/>
  <c r="M2811" i="2"/>
  <c r="N2811" i="2" s="1"/>
  <c r="M2812" i="2"/>
  <c r="N2812" i="2" s="1"/>
  <c r="M2813" i="2"/>
  <c r="N2813" i="2" s="1"/>
  <c r="M2814" i="2"/>
  <c r="N2814" i="2" s="1"/>
  <c r="M2815" i="2"/>
  <c r="N2815" i="2" s="1"/>
  <c r="M2816" i="2"/>
  <c r="N2816" i="2" s="1"/>
  <c r="M2817" i="2"/>
  <c r="N2817" i="2" s="1"/>
  <c r="M2818" i="2"/>
  <c r="N2818" i="2" s="1"/>
  <c r="M2819" i="2"/>
  <c r="N2819" i="2" s="1"/>
  <c r="M2820" i="2"/>
  <c r="N2820" i="2" s="1"/>
  <c r="M2821" i="2"/>
  <c r="N2821" i="2" s="1"/>
  <c r="M2822" i="2"/>
  <c r="N2822" i="2" s="1"/>
  <c r="M2823" i="2"/>
  <c r="N2823" i="2" s="1"/>
  <c r="M2824" i="2"/>
  <c r="N2824" i="2" s="1"/>
  <c r="M2825" i="2"/>
  <c r="N2825" i="2" s="1"/>
  <c r="M2826" i="2"/>
  <c r="N2826" i="2" s="1"/>
  <c r="M2827" i="2"/>
  <c r="N2827" i="2" s="1"/>
  <c r="M2828" i="2"/>
  <c r="N2828" i="2" s="1"/>
  <c r="M2829" i="2"/>
  <c r="N2829" i="2" s="1"/>
  <c r="M2830" i="2"/>
  <c r="N2830" i="2" s="1"/>
  <c r="M2831" i="2"/>
  <c r="N2831" i="2" s="1"/>
  <c r="M2832" i="2"/>
  <c r="N2832" i="2" s="1"/>
  <c r="M2833" i="2"/>
  <c r="N2833" i="2" s="1"/>
  <c r="M2834" i="2"/>
  <c r="N2834" i="2" s="1"/>
  <c r="M2835" i="2"/>
  <c r="N2835" i="2" s="1"/>
  <c r="M3024" i="2"/>
  <c r="M3025" i="2"/>
  <c r="N3025" i="2" s="1"/>
  <c r="M3026" i="2"/>
  <c r="N3026" i="2" s="1"/>
  <c r="M3027" i="2"/>
  <c r="N3027" i="2" s="1"/>
  <c r="M3028" i="2"/>
  <c r="N3028" i="2" s="1"/>
  <c r="M3029" i="2"/>
  <c r="N3029" i="2" s="1"/>
  <c r="M3030" i="2"/>
  <c r="N3030" i="2" s="1"/>
  <c r="M3031" i="2"/>
  <c r="N3031" i="2" s="1"/>
  <c r="M3032" i="2"/>
  <c r="N3032" i="2" s="1"/>
  <c r="M3033" i="2"/>
  <c r="N3033" i="2" s="1"/>
  <c r="M3034" i="2"/>
  <c r="N3034" i="2" s="1"/>
  <c r="M3035" i="2"/>
  <c r="N3035" i="2" s="1"/>
  <c r="M3036" i="2"/>
  <c r="N3036" i="2" s="1"/>
  <c r="M3037" i="2"/>
  <c r="N3037" i="2" s="1"/>
  <c r="M3038" i="2"/>
  <c r="N3038" i="2" s="1"/>
  <c r="M3039" i="2"/>
  <c r="N3039" i="2" s="1"/>
  <c r="M3040" i="2"/>
  <c r="N3040" i="2" s="1"/>
  <c r="M3041" i="2"/>
  <c r="N3041" i="2" s="1"/>
  <c r="M3203" i="2"/>
  <c r="M3204" i="2"/>
  <c r="N3204" i="2" s="1"/>
  <c r="M3205" i="2"/>
  <c r="N3205" i="2" s="1"/>
  <c r="M3206" i="2"/>
  <c r="N3206" i="2" s="1"/>
  <c r="M3207" i="2"/>
  <c r="N3207" i="2" s="1"/>
  <c r="M3208" i="2"/>
  <c r="N3208" i="2" s="1"/>
  <c r="M3209" i="2"/>
  <c r="N3209" i="2" s="1"/>
  <c r="M3210" i="2"/>
  <c r="N3210" i="2" s="1"/>
  <c r="M3211" i="2"/>
  <c r="N3211" i="2" s="1"/>
  <c r="M3212" i="2"/>
  <c r="N3212" i="2" s="1"/>
  <c r="M3213" i="2"/>
  <c r="N3213" i="2" s="1"/>
  <c r="M3214" i="2"/>
  <c r="N3214" i="2" s="1"/>
  <c r="M3215" i="2"/>
  <c r="N3215" i="2" s="1"/>
  <c r="M3216" i="2"/>
  <c r="N3216" i="2" s="1"/>
  <c r="M3217" i="2"/>
  <c r="N3217" i="2" s="1"/>
  <c r="M3218" i="2"/>
  <c r="N3218" i="2" s="1"/>
  <c r="M3219" i="2"/>
  <c r="N3219" i="2" s="1"/>
  <c r="M3220" i="2"/>
  <c r="N3220" i="2" s="1"/>
  <c r="M3221" i="2"/>
  <c r="N3221" i="2" s="1"/>
  <c r="M3222" i="2"/>
  <c r="N3222" i="2" s="1"/>
  <c r="M3223" i="2"/>
  <c r="N3223" i="2" s="1"/>
  <c r="M3224" i="2"/>
  <c r="N3224" i="2" s="1"/>
  <c r="M3225" i="2"/>
  <c r="N3225" i="2" s="1"/>
  <c r="M3226" i="2"/>
  <c r="N3226" i="2" s="1"/>
  <c r="M3227" i="2"/>
  <c r="N3227" i="2" s="1"/>
  <c r="M3228" i="2"/>
  <c r="N3228" i="2" s="1"/>
  <c r="M3229" i="2"/>
  <c r="N3229" i="2" s="1"/>
  <c r="M3230" i="2"/>
  <c r="N3230" i="2" s="1"/>
  <c r="M3231" i="2"/>
  <c r="N3231" i="2" s="1"/>
  <c r="M3232" i="2"/>
  <c r="N3232" i="2" s="1"/>
  <c r="M3233" i="2"/>
  <c r="N3233" i="2" s="1"/>
  <c r="M3234" i="2"/>
  <c r="N3234" i="2" s="1"/>
  <c r="M3235" i="2"/>
  <c r="N3235" i="2" s="1"/>
  <c r="M3236" i="2"/>
  <c r="N3236" i="2" s="1"/>
  <c r="M3237" i="2"/>
  <c r="N3237" i="2" s="1"/>
  <c r="M3238" i="2"/>
  <c r="N3238" i="2" s="1"/>
  <c r="M3241" i="2"/>
  <c r="N3241" i="2" s="1"/>
  <c r="M3242" i="2"/>
  <c r="N3242" i="2" s="1"/>
  <c r="M3243" i="2"/>
  <c r="N3243" i="2" s="1"/>
  <c r="M3082" i="2"/>
  <c r="M3083" i="2"/>
  <c r="N3083" i="2" s="1"/>
  <c r="M3084" i="2"/>
  <c r="N3084" i="2" s="1"/>
  <c r="M3085" i="2"/>
  <c r="N3085" i="2" s="1"/>
  <c r="M3086" i="2"/>
  <c r="N3086" i="2" s="1"/>
  <c r="M3087" i="2"/>
  <c r="N3087" i="2" s="1"/>
  <c r="M3088" i="2"/>
  <c r="N3088" i="2" s="1"/>
  <c r="M3089" i="2"/>
  <c r="N3089" i="2" s="1"/>
  <c r="M3090" i="2"/>
  <c r="N3090" i="2" s="1"/>
  <c r="M3091" i="2"/>
  <c r="N3091" i="2" s="1"/>
  <c r="M3092" i="2"/>
  <c r="N3092" i="2" s="1"/>
  <c r="M3093" i="2"/>
  <c r="N3093" i="2" s="1"/>
  <c r="M3094" i="2"/>
  <c r="N3094" i="2" s="1"/>
  <c r="M3095" i="2"/>
  <c r="N3095" i="2" s="1"/>
  <c r="M3096" i="2"/>
  <c r="N3096" i="2" s="1"/>
  <c r="M3097" i="2"/>
  <c r="N3097" i="2" s="1"/>
  <c r="M3098" i="2"/>
  <c r="N3098" i="2" s="1"/>
  <c r="M3099" i="2"/>
  <c r="N3099" i="2" s="1"/>
  <c r="M3100" i="2"/>
  <c r="N3100" i="2" s="1"/>
  <c r="M3101" i="2"/>
  <c r="N3101" i="2" s="1"/>
  <c r="M3102" i="2"/>
  <c r="N3102" i="2" s="1"/>
  <c r="M3103" i="2"/>
  <c r="N3103" i="2" s="1"/>
  <c r="M3104" i="2"/>
  <c r="N3104" i="2" s="1"/>
  <c r="M3105" i="2"/>
  <c r="N3105" i="2" s="1"/>
  <c r="M3106" i="2"/>
  <c r="N3106" i="2" s="1"/>
  <c r="M3107" i="2"/>
  <c r="N3107" i="2" s="1"/>
  <c r="M3108" i="2"/>
  <c r="N3108" i="2" s="1"/>
  <c r="M3109" i="2"/>
  <c r="N3109" i="2" s="1"/>
  <c r="M3110" i="2"/>
  <c r="N3110" i="2" s="1"/>
  <c r="M3111" i="2"/>
  <c r="N3111" i="2" s="1"/>
  <c r="M3112" i="2"/>
  <c r="N3112" i="2" s="1"/>
  <c r="M3113" i="2"/>
  <c r="N3113" i="2" s="1"/>
  <c r="M3114" i="2"/>
  <c r="N3114" i="2" s="1"/>
  <c r="M3115" i="2"/>
  <c r="N3115" i="2" s="1"/>
  <c r="M3116" i="2"/>
  <c r="N3116" i="2" s="1"/>
  <c r="M3117" i="2"/>
  <c r="N3117" i="2" s="1"/>
  <c r="M3118" i="2"/>
  <c r="N3118" i="2" s="1"/>
  <c r="M3119" i="2"/>
  <c r="N3119" i="2" s="1"/>
  <c r="M3120" i="2"/>
  <c r="N3120" i="2" s="1"/>
  <c r="M3121" i="2"/>
  <c r="N3121" i="2" s="1"/>
  <c r="M3300" i="2"/>
  <c r="M3301" i="2"/>
  <c r="N3301" i="2" s="1"/>
  <c r="M3302" i="2"/>
  <c r="N3302" i="2" s="1"/>
  <c r="M3303" i="2"/>
  <c r="N3303" i="2" s="1"/>
  <c r="M3304" i="2"/>
  <c r="N3304" i="2" s="1"/>
  <c r="M3305" i="2"/>
  <c r="N3305" i="2" s="1"/>
  <c r="M3306" i="2"/>
  <c r="N3306" i="2" s="1"/>
  <c r="M3307" i="2"/>
  <c r="N3307" i="2" s="1"/>
  <c r="M3308" i="2"/>
  <c r="N3308" i="2" s="1"/>
  <c r="M3309" i="2"/>
  <c r="N3309" i="2" s="1"/>
  <c r="M3310" i="2"/>
  <c r="N3310" i="2" s="1"/>
  <c r="M3311" i="2"/>
  <c r="M3312" i="2"/>
  <c r="N3312" i="2" s="1"/>
  <c r="M3313" i="2"/>
  <c r="N3313" i="2" s="1"/>
  <c r="M3314" i="2"/>
  <c r="N3314" i="2" s="1"/>
  <c r="M3315" i="2"/>
  <c r="N3315" i="2" s="1"/>
  <c r="M3316" i="2"/>
  <c r="N3316" i="2" s="1"/>
  <c r="M3317" i="2"/>
  <c r="N3317" i="2" s="1"/>
  <c r="M3318" i="2"/>
  <c r="N3318" i="2" s="1"/>
  <c r="M3319" i="2"/>
  <c r="N3319" i="2" s="1"/>
  <c r="M3320" i="2"/>
  <c r="M3321" i="2"/>
  <c r="N3321" i="2" s="1"/>
  <c r="M3322" i="2"/>
  <c r="N3322" i="2" s="1"/>
  <c r="M3323" i="2"/>
  <c r="N3323" i="2" s="1"/>
  <c r="M3324" i="2"/>
  <c r="N3324" i="2" s="1"/>
  <c r="M3325" i="2"/>
  <c r="N3325" i="2" s="1"/>
  <c r="M3326" i="2"/>
  <c r="N3326" i="2" s="1"/>
  <c r="M3427" i="2"/>
  <c r="M3428" i="2"/>
  <c r="N3428" i="2" s="1"/>
  <c r="M3429" i="2"/>
  <c r="N3429" i="2" s="1"/>
  <c r="M3430" i="2"/>
  <c r="N3430" i="2" s="1"/>
  <c r="M3431" i="2"/>
  <c r="N3431" i="2" s="1"/>
  <c r="M3432" i="2"/>
  <c r="N3432" i="2" s="1"/>
  <c r="M3433" i="2"/>
  <c r="N3433" i="2" s="1"/>
  <c r="M3434" i="2"/>
  <c r="N3434" i="2" s="1"/>
  <c r="M3435" i="2"/>
  <c r="N3435" i="2" s="1"/>
  <c r="M3436" i="2"/>
  <c r="N3436" i="2" s="1"/>
  <c r="M3437" i="2"/>
  <c r="N3437" i="2" s="1"/>
  <c r="M3438" i="2"/>
  <c r="N3438" i="2" s="1"/>
  <c r="M3439" i="2"/>
  <c r="N3439" i="2" s="1"/>
  <c r="M3440" i="2"/>
  <c r="N3440" i="2" s="1"/>
  <c r="M2591" i="2"/>
  <c r="N2591" i="2" s="1"/>
  <c r="M2592" i="2"/>
  <c r="N2592" i="2" s="1"/>
  <c r="M2593" i="2"/>
  <c r="N2593" i="2" s="1"/>
  <c r="M2594" i="2"/>
  <c r="N2594" i="2" s="1"/>
  <c r="M2595" i="2"/>
  <c r="N2595" i="2" s="1"/>
  <c r="M2596" i="2"/>
  <c r="N2596" i="2" s="1"/>
  <c r="M2597" i="2"/>
  <c r="N2597" i="2" s="1"/>
  <c r="M2598" i="2"/>
  <c r="M2599" i="2"/>
  <c r="N2599" i="2" s="1"/>
  <c r="M2600" i="2"/>
  <c r="N2600" i="2" s="1"/>
  <c r="M2601" i="2"/>
  <c r="N2601" i="2" s="1"/>
  <c r="M2602" i="2"/>
  <c r="N2602" i="2" s="1"/>
  <c r="M2603" i="2"/>
  <c r="N2603" i="2" s="1"/>
  <c r="M2604" i="2"/>
  <c r="N2604" i="2" s="1"/>
  <c r="M2605" i="2"/>
  <c r="N2605" i="2" s="1"/>
  <c r="M2606" i="2"/>
  <c r="N2606" i="2" s="1"/>
  <c r="M2607" i="2"/>
  <c r="N2607" i="2" s="1"/>
  <c r="M2608" i="2"/>
  <c r="N2608" i="2" s="1"/>
  <c r="M2609" i="2"/>
  <c r="N2609" i="2" s="1"/>
  <c r="M2610" i="2"/>
  <c r="N2610" i="2" s="1"/>
  <c r="M2611" i="2"/>
  <c r="N2611" i="2" s="1"/>
  <c r="M2612" i="2"/>
  <c r="N2612" i="2" s="1"/>
  <c r="M2613" i="2"/>
  <c r="N2613" i="2" s="1"/>
  <c r="M2614" i="2"/>
  <c r="N2614" i="2" s="1"/>
  <c r="M2615" i="2"/>
  <c r="N2615" i="2" s="1"/>
  <c r="M2616" i="2"/>
  <c r="N2616" i="2" s="1"/>
  <c r="M2617" i="2"/>
  <c r="N2617" i="2" s="1"/>
  <c r="M2618" i="2"/>
  <c r="N2618" i="2" s="1"/>
  <c r="M2619" i="2"/>
  <c r="N2619" i="2" s="1"/>
  <c r="M2620" i="2"/>
  <c r="N2620" i="2" s="1"/>
  <c r="M2621" i="2"/>
  <c r="N2621" i="2" s="1"/>
  <c r="M2622" i="2"/>
  <c r="N2622" i="2" s="1"/>
  <c r="M2623" i="2"/>
  <c r="N2623" i="2" s="1"/>
  <c r="M2624" i="2"/>
  <c r="N2624" i="2" s="1"/>
  <c r="M2625" i="2"/>
  <c r="N2625" i="2" s="1"/>
  <c r="M2626" i="2"/>
  <c r="N2626" i="2" s="1"/>
  <c r="M2627" i="2"/>
  <c r="N2627" i="2" s="1"/>
  <c r="M2628" i="2"/>
  <c r="N2628" i="2" s="1"/>
  <c r="M2629" i="2"/>
  <c r="N2629" i="2" s="1"/>
  <c r="M2630" i="2"/>
  <c r="N2630" i="2" s="1"/>
  <c r="M2631" i="2"/>
  <c r="N2631" i="2" s="1"/>
  <c r="M2632" i="2"/>
  <c r="N2632" i="2" s="1"/>
  <c r="M2633" i="2"/>
  <c r="N2633" i="2" s="1"/>
  <c r="M2634" i="2"/>
  <c r="N2634" i="2" s="1"/>
  <c r="M2635" i="2"/>
  <c r="N2635" i="2" s="1"/>
  <c r="M2636" i="2"/>
  <c r="N2636" i="2" s="1"/>
  <c r="M2637" i="2"/>
  <c r="N2637" i="2" s="1"/>
  <c r="M2638" i="2"/>
  <c r="N2638" i="2" s="1"/>
  <c r="M2639" i="2"/>
  <c r="N2639" i="2" s="1"/>
  <c r="M2640" i="2"/>
  <c r="N2640" i="2" s="1"/>
  <c r="M2641" i="2"/>
  <c r="N2641" i="2" s="1"/>
  <c r="M2642" i="2"/>
  <c r="N2642" i="2" s="1"/>
  <c r="M2643" i="2"/>
  <c r="N2643" i="2" s="1"/>
  <c r="M2644" i="2"/>
  <c r="N2644" i="2" s="1"/>
  <c r="M2645" i="2"/>
  <c r="N2645" i="2" s="1"/>
  <c r="M2646" i="2"/>
  <c r="N2646" i="2" s="1"/>
  <c r="M2647" i="2"/>
  <c r="N2647" i="2" s="1"/>
  <c r="M2648" i="2"/>
  <c r="N2648" i="2" s="1"/>
  <c r="M2649" i="2"/>
  <c r="N2649" i="2" s="1"/>
  <c r="M2650" i="2"/>
  <c r="N2650" i="2" s="1"/>
  <c r="M2651" i="2"/>
  <c r="N2651" i="2" s="1"/>
  <c r="M2652" i="2"/>
  <c r="N2652" i="2" s="1"/>
  <c r="M2653" i="2"/>
  <c r="N2653" i="2" s="1"/>
  <c r="M2654" i="2"/>
  <c r="N2654" i="2" s="1"/>
  <c r="M2655" i="2"/>
  <c r="N2655" i="2" s="1"/>
  <c r="M2656" i="2"/>
  <c r="N2656" i="2" s="1"/>
  <c r="M2657" i="2"/>
  <c r="N2657" i="2" s="1"/>
  <c r="M2658" i="2"/>
  <c r="N2658" i="2" s="1"/>
  <c r="M2659" i="2"/>
  <c r="N2659" i="2" s="1"/>
  <c r="M2660" i="2"/>
  <c r="N2660" i="2" s="1"/>
  <c r="M2661" i="2"/>
  <c r="N2661" i="2" s="1"/>
  <c r="M2662" i="2"/>
  <c r="N2662" i="2" s="1"/>
  <c r="M2663" i="2"/>
  <c r="N2663" i="2" s="1"/>
  <c r="M2664" i="2"/>
  <c r="N2664" i="2" s="1"/>
  <c r="M2665" i="2"/>
  <c r="N2665" i="2" s="1"/>
  <c r="M2666" i="2"/>
  <c r="N2666" i="2" s="1"/>
  <c r="M2667" i="2"/>
  <c r="N2667" i="2" s="1"/>
  <c r="M2668" i="2"/>
  <c r="N2668" i="2" s="1"/>
  <c r="M2669" i="2"/>
  <c r="N2669" i="2" s="1"/>
  <c r="M2670" i="2"/>
  <c r="N2670" i="2" s="1"/>
  <c r="M2671" i="2"/>
  <c r="N2671" i="2" s="1"/>
  <c r="M2672" i="2"/>
  <c r="N2672" i="2" s="1"/>
  <c r="M2673" i="2"/>
  <c r="N2673" i="2" s="1"/>
  <c r="M2674" i="2"/>
  <c r="N2674" i="2" s="1"/>
  <c r="M2675" i="2"/>
  <c r="N2675" i="2" s="1"/>
  <c r="M2676" i="2"/>
  <c r="N2676" i="2" s="1"/>
  <c r="M2677" i="2"/>
  <c r="N2677" i="2" s="1"/>
  <c r="M2678" i="2"/>
  <c r="N2678" i="2" s="1"/>
  <c r="M2679" i="2"/>
  <c r="N2679" i="2" s="1"/>
  <c r="M2680" i="2"/>
  <c r="N2680" i="2" s="1"/>
  <c r="M3" i="2"/>
  <c r="M4" i="2"/>
  <c r="N4" i="2" s="1"/>
  <c r="M5" i="2"/>
  <c r="N5" i="2" s="1"/>
  <c r="M6" i="2"/>
  <c r="N6" i="2" s="1"/>
  <c r="M7" i="2"/>
  <c r="N7" i="2" s="1"/>
  <c r="M8" i="2"/>
  <c r="N8" i="2" s="1"/>
  <c r="M9" i="2"/>
  <c r="N9" i="2" s="1"/>
  <c r="M10" i="2"/>
  <c r="N10" i="2" s="1"/>
  <c r="M11" i="2"/>
  <c r="N11" i="2" s="1"/>
  <c r="M12" i="2"/>
  <c r="N12" i="2" s="1"/>
  <c r="M13" i="2"/>
  <c r="N13" i="2" s="1"/>
  <c r="M14" i="2"/>
  <c r="N14" i="2" s="1"/>
  <c r="M15" i="2"/>
  <c r="N15" i="2" s="1"/>
  <c r="M16" i="2"/>
  <c r="N16" i="2" s="1"/>
  <c r="M17" i="2"/>
  <c r="N17" i="2" s="1"/>
  <c r="M18" i="2"/>
  <c r="N18" i="2" s="1"/>
  <c r="M19" i="2"/>
  <c r="N19" i="2"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M34" i="2"/>
  <c r="N34" i="2" s="1"/>
  <c r="M35" i="2"/>
  <c r="N35" i="2" s="1"/>
  <c r="M36" i="2"/>
  <c r="N36" i="2" s="1"/>
  <c r="M37" i="2"/>
  <c r="N37" i="2" s="1"/>
  <c r="M38" i="2"/>
  <c r="N38" i="2" s="1"/>
  <c r="M39" i="2"/>
  <c r="N39" i="2" s="1"/>
  <c r="M40" i="2"/>
  <c r="N40" i="2" s="1"/>
  <c r="M41" i="2"/>
  <c r="N41" i="2" s="1"/>
  <c r="M42" i="2"/>
  <c r="N42" i="2" s="1"/>
  <c r="M43" i="2"/>
  <c r="N43" i="2" s="1"/>
  <c r="M44" i="2"/>
  <c r="N44" i="2" s="1"/>
  <c r="M45" i="2"/>
  <c r="N45" i="2" s="1"/>
  <c r="M46" i="2"/>
  <c r="N46" i="2" s="1"/>
  <c r="M47" i="2"/>
  <c r="N47" i="2" s="1"/>
  <c r="M48" i="2"/>
  <c r="N48" i="2" s="1"/>
  <c r="M49" i="2"/>
  <c r="N49" i="2" s="1"/>
  <c r="M50" i="2"/>
  <c r="N50" i="2" s="1"/>
  <c r="M51" i="2"/>
  <c r="N51" i="2" s="1"/>
  <c r="M52" i="2"/>
  <c r="N52" i="2" s="1"/>
  <c r="M53" i="2"/>
  <c r="N53" i="2" s="1"/>
  <c r="M54" i="2"/>
  <c r="N54" i="2" s="1"/>
  <c r="M55" i="2"/>
  <c r="N55" i="2" s="1"/>
  <c r="M56" i="2"/>
  <c r="N56" i="2" s="1"/>
  <c r="M57" i="2"/>
  <c r="N57" i="2" s="1"/>
  <c r="M58" i="2"/>
  <c r="N58" i="2" s="1"/>
  <c r="M59" i="2"/>
  <c r="N59" i="2" s="1"/>
  <c r="M60" i="2"/>
  <c r="N60" i="2" s="1"/>
  <c r="M61" i="2"/>
  <c r="N61" i="2" s="1"/>
  <c r="M62" i="2"/>
  <c r="N62" i="2" s="1"/>
  <c r="M63" i="2"/>
  <c r="N63" i="2" s="1"/>
  <c r="M64" i="2"/>
  <c r="N64" i="2" s="1"/>
  <c r="M1575" i="2"/>
  <c r="M1576" i="2"/>
  <c r="N1576" i="2" s="1"/>
  <c r="M1577" i="2"/>
  <c r="N1577" i="2" s="1"/>
  <c r="M1578" i="2"/>
  <c r="N1578" i="2" s="1"/>
  <c r="M1579" i="2"/>
  <c r="N1579" i="2" s="1"/>
  <c r="M1580" i="2"/>
  <c r="N1580" i="2" s="1"/>
  <c r="M1581" i="2"/>
  <c r="N1581" i="2" s="1"/>
  <c r="M1582" i="2"/>
  <c r="N1582" i="2" s="1"/>
  <c r="M1583" i="2"/>
  <c r="N1583" i="2" s="1"/>
  <c r="M1584" i="2"/>
  <c r="N1584" i="2" s="1"/>
  <c r="M1585" i="2"/>
  <c r="N1585" i="2" s="1"/>
  <c r="M1586" i="2"/>
  <c r="N1586" i="2" s="1"/>
  <c r="M1587" i="2"/>
  <c r="N1587" i="2" s="1"/>
  <c r="M1588" i="2"/>
  <c r="N1588" i="2" s="1"/>
  <c r="M1589" i="2"/>
  <c r="N1589" i="2" s="1"/>
  <c r="M1590" i="2"/>
  <c r="N1590" i="2" s="1"/>
  <c r="M1591" i="2"/>
  <c r="N1591" i="2" s="1"/>
  <c r="M1592" i="2"/>
  <c r="N1592" i="2" s="1"/>
  <c r="M1593" i="2"/>
  <c r="N1593" i="2" s="1"/>
  <c r="M1594" i="2"/>
  <c r="N1594" i="2" s="1"/>
  <c r="M1595" i="2"/>
  <c r="N1595" i="2" s="1"/>
  <c r="M1336" i="2"/>
  <c r="M1337" i="2"/>
  <c r="N1337" i="2" s="1"/>
  <c r="M1338" i="2"/>
  <c r="N1338" i="2" s="1"/>
  <c r="M1339" i="2"/>
  <c r="N1339" i="2" s="1"/>
  <c r="M1340" i="2"/>
  <c r="N1340" i="2" s="1"/>
  <c r="M1341" i="2"/>
  <c r="N1341" i="2" s="1"/>
  <c r="M1342" i="2"/>
  <c r="N1342" i="2" s="1"/>
  <c r="M1343" i="2"/>
  <c r="N1343" i="2" s="1"/>
  <c r="M1344" i="2"/>
  <c r="N1344" i="2" s="1"/>
  <c r="M1345" i="2"/>
  <c r="N1345" i="2" s="1"/>
  <c r="M1346" i="2"/>
  <c r="N1346" i="2" s="1"/>
  <c r="M1347" i="2"/>
  <c r="N1347" i="2" s="1"/>
  <c r="M1348" i="2"/>
  <c r="N1348" i="2" s="1"/>
  <c r="M1349" i="2"/>
  <c r="N1349" i="2" s="1"/>
  <c r="M1350" i="2"/>
  <c r="N1350" i="2" s="1"/>
  <c r="M1351" i="2"/>
  <c r="N1351" i="2" s="1"/>
  <c r="M1352" i="2"/>
  <c r="N1352" i="2" s="1"/>
  <c r="M1353" i="2"/>
  <c r="N1353" i="2" s="1"/>
  <c r="M1354" i="2"/>
  <c r="N1354" i="2" s="1"/>
  <c r="M1355" i="2"/>
  <c r="N1355" i="2" s="1"/>
  <c r="M1356" i="2"/>
  <c r="N1356" i="2" s="1"/>
  <c r="M1357" i="2"/>
  <c r="N1357" i="2" s="1"/>
  <c r="M1358" i="2"/>
  <c r="N1358" i="2" s="1"/>
  <c r="M1359" i="2"/>
  <c r="N1359" i="2" s="1"/>
  <c r="M1360" i="2"/>
  <c r="N1360" i="2" s="1"/>
  <c r="M1361" i="2"/>
  <c r="N1361" i="2" s="1"/>
  <c r="M1362" i="2"/>
  <c r="N1362" i="2" s="1"/>
  <c r="M1363" i="2"/>
  <c r="N1363" i="2" s="1"/>
  <c r="M1364" i="2"/>
  <c r="N1364" i="2" s="1"/>
  <c r="M1365" i="2"/>
  <c r="N1365" i="2" s="1"/>
  <c r="M1366" i="2"/>
  <c r="N1366" i="2" s="1"/>
  <c r="M1367" i="2"/>
  <c r="N1367" i="2" s="1"/>
  <c r="M1368" i="2"/>
  <c r="N1368" i="2" s="1"/>
  <c r="M1369" i="2"/>
  <c r="N1369" i="2" s="1"/>
  <c r="M1370" i="2"/>
  <c r="N1370" i="2" s="1"/>
  <c r="M1371" i="2"/>
  <c r="N1371" i="2" s="1"/>
  <c r="M1372" i="2"/>
  <c r="N1372" i="2" s="1"/>
  <c r="M1373" i="2"/>
  <c r="N1373" i="2" s="1"/>
  <c r="M1374" i="2"/>
  <c r="N1374" i="2" s="1"/>
  <c r="M1375" i="2"/>
  <c r="N1375" i="2" s="1"/>
  <c r="M1376" i="2"/>
  <c r="N1376" i="2" s="1"/>
  <c r="M1377" i="2"/>
  <c r="N1377" i="2" s="1"/>
  <c r="M1378" i="2"/>
  <c r="N1378" i="2" s="1"/>
  <c r="M1379" i="2"/>
  <c r="N1379" i="2" s="1"/>
  <c r="M1380" i="2"/>
  <c r="N1380" i="2" s="1"/>
  <c r="M1381" i="2"/>
  <c r="N1381" i="2" s="1"/>
  <c r="M1382" i="2"/>
  <c r="N1382" i="2" s="1"/>
  <c r="M1383" i="2"/>
  <c r="N1383" i="2" s="1"/>
  <c r="M1384" i="2"/>
  <c r="N1384" i="2" s="1"/>
  <c r="M1385" i="2"/>
  <c r="N1385" i="2" s="1"/>
  <c r="M1386" i="2"/>
  <c r="N1386" i="2" s="1"/>
  <c r="M1387" i="2"/>
  <c r="N1387" i="2" s="1"/>
  <c r="M1388" i="2"/>
  <c r="N1388" i="2" s="1"/>
  <c r="M1389" i="2"/>
  <c r="N1389" i="2" s="1"/>
  <c r="M1390" i="2"/>
  <c r="N1390" i="2" s="1"/>
  <c r="M1391" i="2"/>
  <c r="N1391" i="2" s="1"/>
  <c r="M1392" i="2"/>
  <c r="N1392" i="2" s="1"/>
  <c r="M1393" i="2"/>
  <c r="N1393" i="2" s="1"/>
  <c r="M1394" i="2"/>
  <c r="N1394" i="2" s="1"/>
  <c r="M1395" i="2"/>
  <c r="N1395" i="2" s="1"/>
  <c r="M1396" i="2"/>
  <c r="N1396" i="2" s="1"/>
  <c r="M1397" i="2"/>
  <c r="N1397" i="2" s="1"/>
  <c r="M1398" i="2"/>
  <c r="N1398" i="2" s="1"/>
  <c r="M1399" i="2"/>
  <c r="N1399" i="2" s="1"/>
  <c r="M1400" i="2"/>
  <c r="N1400" i="2" s="1"/>
  <c r="M1401" i="2"/>
  <c r="N1401" i="2" s="1"/>
  <c r="M1402" i="2"/>
  <c r="N1402" i="2" s="1"/>
  <c r="M1403" i="2"/>
  <c r="N1403" i="2" s="1"/>
  <c r="M1404" i="2"/>
  <c r="N1404" i="2" s="1"/>
  <c r="M1405" i="2"/>
  <c r="N1405" i="2" s="1"/>
  <c r="M1406" i="2"/>
  <c r="N1406" i="2" s="1"/>
  <c r="M1407" i="2"/>
  <c r="N1407" i="2" s="1"/>
  <c r="M1408" i="2"/>
  <c r="N1408" i="2" s="1"/>
  <c r="M1409" i="2"/>
  <c r="N1409" i="2" s="1"/>
  <c r="M1410" i="2"/>
  <c r="N1410" i="2" s="1"/>
  <c r="M1411" i="2"/>
  <c r="N1411" i="2" s="1"/>
  <c r="M1412" i="2"/>
  <c r="N1412" i="2" s="1"/>
  <c r="M1413" i="2"/>
  <c r="N1413" i="2" s="1"/>
  <c r="M1414" i="2"/>
  <c r="N1414" i="2" s="1"/>
  <c r="M1415" i="2"/>
  <c r="N1415" i="2" s="1"/>
  <c r="M1416" i="2"/>
  <c r="N1416" i="2" s="1"/>
  <c r="M1417" i="2"/>
  <c r="N1417" i="2" s="1"/>
  <c r="M1418" i="2"/>
  <c r="N1418" i="2" s="1"/>
  <c r="M1419" i="2"/>
  <c r="N1419" i="2" s="1"/>
  <c r="M1420" i="2"/>
  <c r="N1420" i="2" s="1"/>
  <c r="M1421" i="2"/>
  <c r="N1421" i="2" s="1"/>
  <c r="M1422" i="2"/>
  <c r="N1422" i="2" s="1"/>
  <c r="M1423" i="2"/>
  <c r="N1423" i="2" s="1"/>
  <c r="M1424" i="2"/>
  <c r="N1424" i="2" s="1"/>
  <c r="M1425" i="2"/>
  <c r="N1425" i="2" s="1"/>
  <c r="M1426" i="2"/>
  <c r="N1426" i="2" s="1"/>
  <c r="M1427" i="2"/>
  <c r="N1427" i="2" s="1"/>
  <c r="M1428" i="2"/>
  <c r="N1428" i="2" s="1"/>
  <c r="M1429" i="2"/>
  <c r="N1429" i="2" s="1"/>
  <c r="M1430" i="2"/>
  <c r="N1430" i="2" s="1"/>
  <c r="M1431" i="2"/>
  <c r="N1431" i="2" s="1"/>
  <c r="M1432" i="2"/>
  <c r="N1432" i="2" s="1"/>
  <c r="M1433" i="2"/>
  <c r="N1433" i="2" s="1"/>
  <c r="M1434" i="2"/>
  <c r="N1434" i="2" s="1"/>
  <c r="M1435" i="2"/>
  <c r="N1435" i="2" s="1"/>
  <c r="M1436" i="2"/>
  <c r="N1436" i="2" s="1"/>
  <c r="M1437" i="2"/>
  <c r="N1437" i="2" s="1"/>
  <c r="M1438" i="2"/>
  <c r="N1438" i="2" s="1"/>
  <c r="M1439" i="2"/>
  <c r="N1439" i="2" s="1"/>
  <c r="M1440" i="2"/>
  <c r="N1440" i="2" s="1"/>
  <c r="M1441" i="2"/>
  <c r="N1441" i="2" s="1"/>
  <c r="M1442" i="2"/>
  <c r="N1442" i="2" s="1"/>
  <c r="M1443" i="2"/>
  <c r="N1443" i="2" s="1"/>
  <c r="M1444" i="2"/>
  <c r="N1444" i="2" s="1"/>
  <c r="M1445" i="2"/>
  <c r="N1445" i="2" s="1"/>
  <c r="M1446" i="2"/>
  <c r="N1446" i="2" s="1"/>
  <c r="M1447" i="2"/>
  <c r="N1447" i="2" s="1"/>
  <c r="M1448" i="2"/>
  <c r="N1448" i="2" s="1"/>
  <c r="M1449" i="2"/>
  <c r="N1449" i="2" s="1"/>
  <c r="M1450" i="2"/>
  <c r="N1450" i="2" s="1"/>
  <c r="M1451" i="2"/>
  <c r="N1451" i="2" s="1"/>
  <c r="M1452" i="2"/>
  <c r="N1452" i="2" s="1"/>
  <c r="M1453" i="2"/>
  <c r="N1453" i="2" s="1"/>
  <c r="M1454" i="2"/>
  <c r="N1454" i="2" s="1"/>
  <c r="M1455" i="2"/>
  <c r="N1455" i="2" s="1"/>
  <c r="M1456" i="2"/>
  <c r="N1456" i="2" s="1"/>
  <c r="M1457" i="2"/>
  <c r="N1457" i="2" s="1"/>
  <c r="M1458" i="2"/>
  <c r="N1458" i="2" s="1"/>
  <c r="M1459" i="2"/>
  <c r="N1459" i="2" s="1"/>
  <c r="M1460" i="2"/>
  <c r="N1460" i="2" s="1"/>
  <c r="M1461" i="2"/>
  <c r="N1461" i="2" s="1"/>
  <c r="M1462" i="2"/>
  <c r="N1462" i="2" s="1"/>
  <c r="M1463" i="2"/>
  <c r="N1463" i="2" s="1"/>
  <c r="M1464" i="2"/>
  <c r="N1464" i="2" s="1"/>
  <c r="M1465" i="2"/>
  <c r="N1465" i="2" s="1"/>
  <c r="M1466" i="2"/>
  <c r="N1466" i="2" s="1"/>
  <c r="M1467" i="2"/>
  <c r="N1467" i="2" s="1"/>
  <c r="M1468" i="2"/>
  <c r="N1468" i="2" s="1"/>
  <c r="M1469" i="2"/>
  <c r="N1469" i="2" s="1"/>
  <c r="M1470" i="2"/>
  <c r="N1470" i="2" s="1"/>
  <c r="M1471" i="2"/>
  <c r="N1471" i="2" s="1"/>
  <c r="M1472" i="2"/>
  <c r="N1472" i="2" s="1"/>
  <c r="M1473" i="2"/>
  <c r="N1473" i="2" s="1"/>
  <c r="M1474" i="2"/>
  <c r="N1474" i="2" s="1"/>
  <c r="M1475" i="2"/>
  <c r="N1475" i="2" s="1"/>
  <c r="M1476" i="2"/>
  <c r="N1476" i="2" s="1"/>
  <c r="M1477" i="2"/>
  <c r="N1477" i="2" s="1"/>
  <c r="M1478" i="2"/>
  <c r="N1478" i="2" s="1"/>
  <c r="M1479" i="2"/>
  <c r="N1479" i="2" s="1"/>
  <c r="M1480" i="2"/>
  <c r="N1480" i="2" s="1"/>
  <c r="M1481" i="2"/>
  <c r="N1481" i="2" s="1"/>
  <c r="M1482" i="2"/>
  <c r="N1482" i="2" s="1"/>
  <c r="M1483" i="2"/>
  <c r="N1483" i="2" s="1"/>
  <c r="M1484" i="2"/>
  <c r="N1484" i="2" s="1"/>
  <c r="M1485" i="2"/>
  <c r="N1485" i="2" s="1"/>
  <c r="M1486" i="2"/>
  <c r="N1486" i="2" s="1"/>
  <c r="M1487" i="2"/>
  <c r="N1487" i="2" s="1"/>
  <c r="M1488" i="2"/>
  <c r="N1488" i="2" s="1"/>
  <c r="M1489" i="2"/>
  <c r="N1489" i="2" s="1"/>
  <c r="M1490" i="2"/>
  <c r="N1490" i="2" s="1"/>
  <c r="M1491" i="2"/>
  <c r="N1491" i="2" s="1"/>
  <c r="M1492" i="2"/>
  <c r="N1492" i="2" s="1"/>
  <c r="M1493" i="2"/>
  <c r="N1493" i="2" s="1"/>
  <c r="M1494" i="2"/>
  <c r="N1494" i="2" s="1"/>
  <c r="M1495" i="2"/>
  <c r="N1495" i="2" s="1"/>
  <c r="M1496" i="2"/>
  <c r="N1496" i="2" s="1"/>
  <c r="M1497" i="2"/>
  <c r="N1497" i="2" s="1"/>
  <c r="M1498" i="2"/>
  <c r="N1498" i="2" s="1"/>
  <c r="M1499" i="2"/>
  <c r="N1499" i="2" s="1"/>
  <c r="M1500" i="2"/>
  <c r="N1500" i="2" s="1"/>
  <c r="M1501" i="2"/>
  <c r="N1501" i="2" s="1"/>
  <c r="M1502" i="2"/>
  <c r="N1502" i="2" s="1"/>
  <c r="M1503" i="2"/>
  <c r="N1503" i="2" s="1"/>
  <c r="M1504" i="2"/>
  <c r="N1504" i="2" s="1"/>
  <c r="M1505" i="2"/>
  <c r="N1505" i="2" s="1"/>
  <c r="M1506" i="2"/>
  <c r="N1506" i="2" s="1"/>
  <c r="M1507" i="2"/>
  <c r="N1507" i="2" s="1"/>
  <c r="M1508" i="2"/>
  <c r="N1508" i="2" s="1"/>
  <c r="M1509" i="2"/>
  <c r="N1509" i="2" s="1"/>
  <c r="M1510" i="2"/>
  <c r="N1510" i="2" s="1"/>
  <c r="M1511" i="2"/>
  <c r="N1511" i="2" s="1"/>
  <c r="M1512" i="2"/>
  <c r="N1512" i="2" s="1"/>
  <c r="M1513" i="2"/>
  <c r="N1513" i="2" s="1"/>
  <c r="M1514" i="2"/>
  <c r="N1514" i="2" s="1"/>
  <c r="M1515" i="2"/>
  <c r="N1515" i="2" s="1"/>
  <c r="M1516" i="2"/>
  <c r="N1516" i="2" s="1"/>
  <c r="M1517" i="2"/>
  <c r="N1517" i="2" s="1"/>
  <c r="M1518" i="2"/>
  <c r="N1518" i="2" s="1"/>
  <c r="M1519" i="2"/>
  <c r="N1519" i="2" s="1"/>
  <c r="M1520" i="2"/>
  <c r="N1520" i="2" s="1"/>
  <c r="M1521" i="2"/>
  <c r="N1521" i="2" s="1"/>
  <c r="M1522" i="2"/>
  <c r="N1522" i="2" s="1"/>
  <c r="M1523" i="2"/>
  <c r="N1523" i="2" s="1"/>
  <c r="M1524" i="2"/>
  <c r="N1524" i="2" s="1"/>
  <c r="M1525" i="2"/>
  <c r="N1525" i="2" s="1"/>
  <c r="M1526" i="2"/>
  <c r="N1526" i="2" s="1"/>
  <c r="M1527" i="2"/>
  <c r="N1527" i="2" s="1"/>
  <c r="M1528" i="2"/>
  <c r="N1528" i="2" s="1"/>
  <c r="M1529" i="2"/>
  <c r="N1529" i="2" s="1"/>
  <c r="M1530" i="2"/>
  <c r="N1530" i="2" s="1"/>
  <c r="M1531" i="2"/>
  <c r="N1531" i="2" s="1"/>
  <c r="M1532" i="2"/>
  <c r="N1532" i="2" s="1"/>
  <c r="M1533" i="2"/>
  <c r="N1533" i="2" s="1"/>
  <c r="M1534" i="2"/>
  <c r="N1534" i="2" s="1"/>
  <c r="M1535" i="2"/>
  <c r="N1535" i="2" s="1"/>
  <c r="M1536" i="2"/>
  <c r="N1536" i="2" s="1"/>
  <c r="M1537" i="2"/>
  <c r="N1537" i="2" s="1"/>
  <c r="M1538" i="2"/>
  <c r="N1538" i="2" s="1"/>
  <c r="M1539" i="2"/>
  <c r="N1539" i="2" s="1"/>
  <c r="M1540" i="2"/>
  <c r="N1540" i="2" s="1"/>
  <c r="M1541" i="2"/>
  <c r="N1541" i="2" s="1"/>
  <c r="M1542" i="2"/>
  <c r="N1542" i="2" s="1"/>
  <c r="M1543" i="2"/>
  <c r="N1543" i="2" s="1"/>
  <c r="M1544" i="2"/>
  <c r="N1544" i="2" s="1"/>
  <c r="M1545" i="2"/>
  <c r="N1545" i="2" s="1"/>
  <c r="M1546" i="2"/>
  <c r="N1546" i="2" s="1"/>
  <c r="M1547" i="2"/>
  <c r="N1547" i="2" s="1"/>
  <c r="M1548" i="2"/>
  <c r="N1548" i="2" s="1"/>
  <c r="M1549" i="2"/>
  <c r="N1549" i="2" s="1"/>
  <c r="M1550" i="2"/>
  <c r="N1550" i="2" s="1"/>
  <c r="M1551" i="2"/>
  <c r="N1551" i="2" s="1"/>
  <c r="M1552" i="2"/>
  <c r="N1552" i="2" s="1"/>
  <c r="M1553" i="2"/>
  <c r="N1553" i="2" s="1"/>
  <c r="M1554" i="2"/>
  <c r="N1554" i="2" s="1"/>
  <c r="M1555" i="2"/>
  <c r="N1555" i="2" s="1"/>
  <c r="M1556" i="2"/>
  <c r="N1556" i="2" s="1"/>
  <c r="M1557" i="2"/>
  <c r="N1557" i="2" s="1"/>
  <c r="M1558" i="2"/>
  <c r="N1558" i="2" s="1"/>
  <c r="M1559" i="2"/>
  <c r="N1559" i="2" s="1"/>
  <c r="M1560" i="2"/>
  <c r="N1560" i="2" s="1"/>
  <c r="M1561" i="2"/>
  <c r="N1561" i="2" s="1"/>
  <c r="M1562" i="2"/>
  <c r="N1562" i="2" s="1"/>
  <c r="M1563" i="2"/>
  <c r="N1563" i="2" s="1"/>
  <c r="M1564" i="2"/>
  <c r="N1564" i="2" s="1"/>
  <c r="M1565" i="2"/>
  <c r="N1565" i="2" s="1"/>
  <c r="M3452" i="2"/>
  <c r="N3452" i="2" s="1"/>
  <c r="M3453" i="2"/>
  <c r="N3453" i="2" s="1"/>
  <c r="M3454" i="2"/>
  <c r="N3454" i="2" s="1"/>
  <c r="M3455" i="2"/>
  <c r="N3455" i="2" s="1"/>
  <c r="M3456" i="2"/>
  <c r="N3456" i="2" s="1"/>
  <c r="M3457" i="2"/>
  <c r="N3457" i="2" s="1"/>
  <c r="M3458" i="2"/>
  <c r="N3458" i="2" s="1"/>
  <c r="M3459" i="2"/>
  <c r="N3459" i="2" s="1"/>
  <c r="M3460" i="2"/>
  <c r="N3460" i="2" s="1"/>
  <c r="M3461" i="2"/>
  <c r="N3461" i="2" s="1"/>
  <c r="M3462" i="2"/>
  <c r="N3462" i="2" s="1"/>
  <c r="M3463" i="2"/>
  <c r="N3463" i="2" s="1"/>
  <c r="M3464" i="2"/>
  <c r="N3464" i="2" s="1"/>
  <c r="M3465" i="2"/>
  <c r="N3465" i="2" s="1"/>
  <c r="M3466" i="2"/>
  <c r="N3466" i="2" s="1"/>
  <c r="M3467" i="2"/>
  <c r="N3467" i="2" s="1"/>
  <c r="M3468" i="2"/>
  <c r="N3468" i="2" s="1"/>
  <c r="M3469" i="2"/>
  <c r="N3469" i="2" s="1"/>
  <c r="M3470" i="2"/>
  <c r="N3470" i="2" s="1"/>
  <c r="M3471" i="2"/>
  <c r="N3471" i="2" s="1"/>
  <c r="M3472" i="2"/>
  <c r="N3472" i="2" s="1"/>
  <c r="M3473" i="2"/>
  <c r="N3473" i="2" s="1"/>
  <c r="M3474" i="2"/>
  <c r="N3474" i="2" s="1"/>
  <c r="M3475" i="2"/>
  <c r="N3475" i="2" s="1"/>
  <c r="M3476" i="2"/>
  <c r="N3476" i="2" s="1"/>
  <c r="M3477" i="2"/>
  <c r="N3477" i="2" s="1"/>
  <c r="M3478" i="2"/>
  <c r="N3478" i="2" s="1"/>
  <c r="M3479" i="2"/>
  <c r="N3479" i="2" s="1"/>
  <c r="M3480" i="2"/>
  <c r="N3480" i="2" s="1"/>
  <c r="M3481" i="2"/>
  <c r="N3481" i="2" s="1"/>
  <c r="M3482" i="2"/>
  <c r="N3482" i="2" s="1"/>
  <c r="M3483" i="2"/>
  <c r="N3483" i="2" s="1"/>
  <c r="M3484" i="2"/>
  <c r="N3484" i="2" s="1"/>
  <c r="M3485" i="2"/>
  <c r="N3485" i="2" s="1"/>
  <c r="M3486" i="2"/>
  <c r="N3486" i="2" s="1"/>
  <c r="M3487" i="2"/>
  <c r="N3487" i="2" s="1"/>
  <c r="M3488" i="2"/>
  <c r="N3488" i="2" s="1"/>
  <c r="M3489" i="2"/>
  <c r="N3489" i="2" s="1"/>
  <c r="M3490" i="2"/>
  <c r="N3490" i="2" s="1"/>
  <c r="M3491" i="2"/>
  <c r="N3491" i="2" s="1"/>
  <c r="M3492" i="2"/>
  <c r="N3492" i="2" s="1"/>
  <c r="M3493" i="2"/>
  <c r="N3493" i="2" s="1"/>
  <c r="M3494" i="2"/>
  <c r="N3494" i="2" s="1"/>
  <c r="M3495" i="2"/>
  <c r="N3495" i="2" s="1"/>
  <c r="M3496" i="2"/>
  <c r="N3496" i="2" s="1"/>
  <c r="M3497" i="2"/>
  <c r="N3497" i="2" s="1"/>
  <c r="M3498" i="2"/>
  <c r="N3498" i="2" s="1"/>
  <c r="M3499" i="2"/>
  <c r="N3499" i="2" s="1"/>
  <c r="M3500" i="2"/>
  <c r="N3500" i="2" s="1"/>
  <c r="M3501" i="2"/>
  <c r="N3501" i="2" s="1"/>
  <c r="M3502" i="2"/>
  <c r="N3502" i="2" s="1"/>
  <c r="M3503" i="2"/>
  <c r="N3503" i="2" s="1"/>
  <c r="M3504" i="2"/>
  <c r="N3504" i="2" s="1"/>
  <c r="M3505" i="2"/>
  <c r="N3505" i="2" s="1"/>
  <c r="M3506" i="2"/>
  <c r="N3506" i="2" s="1"/>
  <c r="M3507" i="2"/>
  <c r="N3507" i="2" s="1"/>
  <c r="M3508" i="2"/>
  <c r="N3508" i="2" s="1"/>
  <c r="M3509" i="2"/>
  <c r="N3509" i="2" s="1"/>
  <c r="M3510" i="2"/>
  <c r="N3510" i="2" s="1"/>
  <c r="M3511" i="2"/>
  <c r="N3511" i="2" s="1"/>
  <c r="M3512" i="2"/>
  <c r="N3512" i="2" s="1"/>
  <c r="M3513" i="2"/>
  <c r="N3513" i="2" s="1"/>
  <c r="M3514" i="2"/>
  <c r="N3514" i="2" s="1"/>
  <c r="M3515" i="2"/>
  <c r="N3515" i="2" s="1"/>
  <c r="M3516" i="2"/>
  <c r="N3516" i="2" s="1"/>
  <c r="M3517" i="2"/>
  <c r="N3517" i="2" s="1"/>
  <c r="M3518" i="2"/>
  <c r="N3518" i="2" s="1"/>
  <c r="M3519" i="2"/>
  <c r="N3519" i="2" s="1"/>
  <c r="M3520" i="2"/>
  <c r="N3520" i="2" s="1"/>
  <c r="M3521" i="2"/>
  <c r="N3521" i="2" s="1"/>
  <c r="M3522" i="2"/>
  <c r="N3522" i="2" s="1"/>
  <c r="M3523" i="2"/>
  <c r="N3523" i="2" s="1"/>
  <c r="M3524" i="2"/>
  <c r="N3524" i="2" s="1"/>
  <c r="M3525" i="2"/>
  <c r="N3525" i="2" s="1"/>
  <c r="M3526" i="2"/>
  <c r="N3526" i="2" s="1"/>
  <c r="M3527" i="2"/>
  <c r="N3527" i="2" s="1"/>
  <c r="M3528" i="2"/>
  <c r="N3528" i="2" s="1"/>
  <c r="M3529" i="2"/>
  <c r="N3529" i="2" s="1"/>
  <c r="M3530" i="2"/>
  <c r="N3530" i="2" s="1"/>
  <c r="M3531" i="2"/>
  <c r="N3531" i="2" s="1"/>
  <c r="M3532" i="2"/>
  <c r="N3532" i="2" s="1"/>
  <c r="M3533" i="2"/>
  <c r="N3533" i="2" s="1"/>
  <c r="M3534" i="2"/>
  <c r="N3534" i="2" s="1"/>
  <c r="M3535" i="2"/>
  <c r="N3535" i="2" s="1"/>
  <c r="M3536" i="2"/>
  <c r="N3536" i="2" s="1"/>
  <c r="M3537" i="2"/>
  <c r="N3537" i="2" s="1"/>
  <c r="M3538" i="2"/>
  <c r="N3538" i="2" s="1"/>
  <c r="M3539" i="2"/>
  <c r="N3539" i="2" s="1"/>
  <c r="M3540" i="2"/>
  <c r="N3540" i="2" s="1"/>
  <c r="M3541" i="2"/>
  <c r="N3541" i="2" s="1"/>
  <c r="M3542" i="2"/>
  <c r="N3542" i="2" s="1"/>
  <c r="M3543" i="2"/>
  <c r="N3543" i="2" s="1"/>
  <c r="M3544" i="2"/>
  <c r="N3544" i="2" s="1"/>
  <c r="M3545" i="2"/>
  <c r="N3545" i="2" s="1"/>
  <c r="M3546" i="2"/>
  <c r="N3546" i="2" s="1"/>
  <c r="M3547" i="2"/>
  <c r="N3547" i="2" s="1"/>
  <c r="M3548" i="2"/>
  <c r="N3548" i="2" s="1"/>
  <c r="M3549" i="2"/>
  <c r="N3549" i="2" s="1"/>
  <c r="M3550" i="2"/>
  <c r="N3550" i="2" s="1"/>
  <c r="M3551" i="2"/>
  <c r="N3551" i="2" s="1"/>
  <c r="M3552" i="2"/>
  <c r="N3552" i="2" s="1"/>
  <c r="M3553" i="2"/>
  <c r="N3553" i="2" s="1"/>
  <c r="M3554" i="2"/>
  <c r="N3554" i="2" s="1"/>
  <c r="M3555" i="2"/>
  <c r="N3555" i="2" s="1"/>
  <c r="M3556" i="2"/>
  <c r="N3556" i="2" s="1"/>
  <c r="M3557" i="2"/>
  <c r="N3557" i="2" s="1"/>
  <c r="M3558" i="2"/>
  <c r="N3558" i="2" s="1"/>
  <c r="M3559" i="2"/>
  <c r="N3559" i="2" s="1"/>
  <c r="M3560" i="2"/>
  <c r="N3560" i="2" s="1"/>
  <c r="M3561" i="2"/>
  <c r="N3561" i="2" s="1"/>
  <c r="M3562" i="2"/>
  <c r="N3562" i="2" s="1"/>
  <c r="M3563" i="2"/>
  <c r="N3563" i="2" s="1"/>
  <c r="M3564" i="2"/>
  <c r="N3564" i="2" s="1"/>
  <c r="M3565" i="2"/>
  <c r="N3565" i="2" s="1"/>
  <c r="M3566" i="2"/>
  <c r="N3566" i="2" s="1"/>
  <c r="M3567" i="2"/>
  <c r="N3567" i="2" s="1"/>
  <c r="M3568" i="2"/>
  <c r="N3568" i="2" s="1"/>
  <c r="M3569" i="2"/>
  <c r="N3569" i="2" s="1"/>
  <c r="M3570" i="2"/>
  <c r="N3570" i="2" s="1"/>
  <c r="M3571" i="2"/>
  <c r="N3571" i="2" s="1"/>
  <c r="M3572" i="2"/>
  <c r="N3572" i="2" s="1"/>
  <c r="M3573" i="2"/>
  <c r="N3573" i="2" s="1"/>
  <c r="M3574" i="2"/>
  <c r="N3574" i="2" s="1"/>
  <c r="M3575" i="2"/>
  <c r="N3575" i="2" s="1"/>
  <c r="M3576" i="2"/>
  <c r="N3576" i="2" s="1"/>
  <c r="M3577" i="2"/>
  <c r="N3577" i="2" s="1"/>
  <c r="M3578" i="2"/>
  <c r="N3578" i="2" s="1"/>
  <c r="M3579" i="2"/>
  <c r="N3579" i="2" s="1"/>
  <c r="M3580" i="2"/>
  <c r="N3580" i="2" s="1"/>
  <c r="M3581" i="2"/>
  <c r="N3581" i="2" s="1"/>
  <c r="M3582" i="2"/>
  <c r="N3582" i="2" s="1"/>
  <c r="M3583" i="2"/>
  <c r="N3583" i="2" s="1"/>
  <c r="M3584" i="2"/>
  <c r="N3584" i="2" s="1"/>
  <c r="M3585" i="2"/>
  <c r="N3585" i="2" s="1"/>
  <c r="M3586" i="2"/>
  <c r="N3586" i="2" s="1"/>
  <c r="M3587" i="2"/>
  <c r="N3587" i="2" s="1"/>
  <c r="M3588" i="2"/>
  <c r="N3588" i="2" s="1"/>
  <c r="M3589" i="2"/>
  <c r="N3589" i="2" s="1"/>
  <c r="M3590" i="2"/>
  <c r="N3590" i="2" s="1"/>
  <c r="M3591" i="2"/>
  <c r="N3591" i="2" s="1"/>
  <c r="M3592" i="2"/>
  <c r="N3592" i="2" s="1"/>
  <c r="M3593" i="2"/>
  <c r="N3593" i="2" s="1"/>
  <c r="M3594" i="2"/>
  <c r="N3594" i="2" s="1"/>
  <c r="M3595" i="2"/>
  <c r="N3595" i="2" s="1"/>
  <c r="M3596" i="2"/>
  <c r="N3596" i="2" s="1"/>
  <c r="M3597" i="2"/>
  <c r="N3597" i="2" s="1"/>
  <c r="M3598" i="2"/>
  <c r="N3598" i="2" s="1"/>
  <c r="M3599" i="2"/>
  <c r="N3599" i="2" s="1"/>
  <c r="M3600" i="2"/>
  <c r="N3600" i="2" s="1"/>
  <c r="M3601" i="2"/>
  <c r="N3601" i="2" s="1"/>
  <c r="M3602" i="2"/>
  <c r="N3602" i="2" s="1"/>
  <c r="M3603" i="2"/>
  <c r="N3603" i="2" s="1"/>
  <c r="M3604" i="2"/>
  <c r="N3604" i="2" s="1"/>
  <c r="M3605" i="2"/>
  <c r="N3605" i="2" s="1"/>
  <c r="M3606" i="2"/>
  <c r="N3606" i="2" s="1"/>
  <c r="M3607" i="2"/>
  <c r="N3607" i="2" s="1"/>
  <c r="M3608" i="2"/>
  <c r="N3608" i="2" s="1"/>
  <c r="M3609" i="2"/>
  <c r="N3609" i="2" s="1"/>
  <c r="M3610" i="2"/>
  <c r="N3610" i="2" s="1"/>
  <c r="M3611" i="2"/>
  <c r="N3611" i="2" s="1"/>
  <c r="M3612" i="2"/>
  <c r="N3612" i="2" s="1"/>
  <c r="M3613" i="2"/>
  <c r="N3613" i="2" s="1"/>
  <c r="M3614" i="2"/>
  <c r="N3614" i="2" s="1"/>
  <c r="M3615" i="2"/>
  <c r="N3615" i="2" s="1"/>
  <c r="M3616" i="2"/>
  <c r="N3616" i="2" s="1"/>
  <c r="M3617" i="2"/>
  <c r="N3617" i="2" s="1"/>
  <c r="M3618" i="2"/>
  <c r="N3618" i="2" s="1"/>
  <c r="M3619" i="2"/>
  <c r="N3619" i="2" s="1"/>
  <c r="M3620" i="2"/>
  <c r="N3620" i="2" s="1"/>
  <c r="M3621" i="2"/>
  <c r="N3621" i="2" s="1"/>
  <c r="M3622" i="2"/>
  <c r="N3622" i="2" s="1"/>
  <c r="M3623" i="2"/>
  <c r="N3623" i="2" s="1"/>
  <c r="M3624" i="2"/>
  <c r="N3624" i="2" s="1"/>
  <c r="M3625" i="2"/>
  <c r="N3625" i="2" s="1"/>
  <c r="M3626" i="2"/>
  <c r="N3626" i="2" s="1"/>
  <c r="M3627" i="2"/>
  <c r="N3627" i="2" s="1"/>
  <c r="M3628" i="2"/>
  <c r="N3628" i="2" s="1"/>
  <c r="M3629" i="2"/>
  <c r="N3629" i="2" s="1"/>
  <c r="M3630" i="2"/>
  <c r="N3630" i="2" s="1"/>
  <c r="M3631" i="2"/>
  <c r="N3631" i="2" s="1"/>
  <c r="M3632" i="2"/>
  <c r="N3632" i="2" s="1"/>
  <c r="M3633" i="2"/>
  <c r="N3633" i="2" s="1"/>
  <c r="M3634" i="2"/>
  <c r="N3634" i="2" s="1"/>
  <c r="M3635" i="2"/>
  <c r="N3635" i="2" s="1"/>
  <c r="M3636" i="2"/>
  <c r="N3636" i="2" s="1"/>
  <c r="M3637" i="2"/>
  <c r="N3637" i="2" s="1"/>
  <c r="M3638" i="2"/>
  <c r="N3638" i="2" s="1"/>
  <c r="M3639" i="2"/>
  <c r="N3639" i="2" s="1"/>
  <c r="M3640" i="2"/>
  <c r="N3640" i="2" s="1"/>
  <c r="M3641" i="2"/>
  <c r="N3641" i="2" s="1"/>
  <c r="M3642" i="2"/>
  <c r="N3642" i="2" s="1"/>
  <c r="M3643" i="2"/>
  <c r="N3643" i="2" s="1"/>
  <c r="M3644" i="2"/>
  <c r="N3644" i="2" s="1"/>
  <c r="M3645" i="2"/>
  <c r="N3645" i="2" s="1"/>
  <c r="M3646" i="2"/>
  <c r="N3646" i="2" s="1"/>
  <c r="M3647" i="2"/>
  <c r="N3647" i="2" s="1"/>
  <c r="M3648" i="2"/>
  <c r="N3648" i="2" s="1"/>
  <c r="M3649" i="2"/>
  <c r="N3649" i="2" s="1"/>
  <c r="M3650" i="2"/>
  <c r="N3650" i="2" s="1"/>
  <c r="M3651" i="2"/>
  <c r="N3651" i="2" s="1"/>
  <c r="M3652" i="2"/>
  <c r="N3652" i="2" s="1"/>
  <c r="M3653" i="2"/>
  <c r="N3653" i="2" s="1"/>
  <c r="M3654" i="2"/>
  <c r="N3654" i="2" s="1"/>
  <c r="M3655" i="2"/>
  <c r="N3655" i="2" s="1"/>
  <c r="M3656" i="2"/>
  <c r="N3656" i="2" s="1"/>
  <c r="M3657" i="2"/>
  <c r="N3657" i="2" s="1"/>
  <c r="M3658" i="2"/>
  <c r="N3658" i="2" s="1"/>
  <c r="M3659" i="2"/>
  <c r="N3659" i="2" s="1"/>
  <c r="M3660" i="2"/>
  <c r="N3660" i="2" s="1"/>
  <c r="M3661" i="2"/>
  <c r="N3661" i="2" s="1"/>
  <c r="M3662" i="2"/>
  <c r="N3662" i="2" s="1"/>
  <c r="M3663" i="2"/>
  <c r="N3663" i="2" s="1"/>
  <c r="M3664" i="2"/>
  <c r="N3664" i="2" s="1"/>
  <c r="M3665" i="2"/>
  <c r="N3665" i="2" s="1"/>
  <c r="M3666" i="2"/>
  <c r="N3666" i="2" s="1"/>
  <c r="M3667" i="2"/>
  <c r="N3667" i="2" s="1"/>
  <c r="M3668" i="2"/>
  <c r="N3668" i="2" s="1"/>
  <c r="M3669" i="2"/>
  <c r="N3669" i="2" s="1"/>
  <c r="M3670" i="2"/>
  <c r="N3670" i="2" s="1"/>
  <c r="M3671" i="2"/>
  <c r="N3671" i="2" s="1"/>
  <c r="M3672" i="2"/>
  <c r="N3672" i="2" s="1"/>
  <c r="M3673" i="2"/>
  <c r="N3673" i="2" s="1"/>
  <c r="M3674" i="2"/>
  <c r="N3674" i="2" s="1"/>
  <c r="M3675" i="2"/>
  <c r="N3675" i="2" s="1"/>
  <c r="M3676" i="2"/>
  <c r="N3676" i="2" s="1"/>
  <c r="M3677" i="2"/>
  <c r="N3677" i="2" s="1"/>
  <c r="M3678" i="2"/>
  <c r="N3678" i="2" s="1"/>
  <c r="M3679" i="2"/>
  <c r="N3679" i="2" s="1"/>
  <c r="M3680" i="2"/>
  <c r="N3680" i="2" s="1"/>
  <c r="M3681" i="2"/>
  <c r="N3681" i="2" s="1"/>
  <c r="M3682" i="2"/>
  <c r="N3682" i="2" s="1"/>
  <c r="M3683" i="2"/>
  <c r="N3683" i="2" s="1"/>
  <c r="M3684" i="2"/>
  <c r="N3684" i="2" s="1"/>
  <c r="M3685" i="2"/>
  <c r="N3685" i="2" s="1"/>
  <c r="M3686" i="2"/>
  <c r="N3686" i="2" s="1"/>
  <c r="M3687" i="2"/>
  <c r="N3687" i="2" s="1"/>
  <c r="M3688" i="2"/>
  <c r="N3688" i="2" s="1"/>
  <c r="M3689" i="2"/>
  <c r="N3689" i="2" s="1"/>
  <c r="M3690" i="2"/>
  <c r="N3690" i="2" s="1"/>
  <c r="M3691" i="2"/>
  <c r="N3691" i="2" s="1"/>
  <c r="M3692" i="2"/>
  <c r="N3692" i="2" s="1"/>
  <c r="M3693" i="2"/>
  <c r="N3693" i="2" s="1"/>
  <c r="M3694" i="2"/>
  <c r="N3694" i="2" s="1"/>
  <c r="M3695" i="2"/>
  <c r="N3695" i="2" s="1"/>
  <c r="M3696" i="2"/>
  <c r="N3696" i="2" s="1"/>
  <c r="M3697" i="2"/>
  <c r="N3697" i="2" s="1"/>
  <c r="M3698" i="2"/>
  <c r="N3698" i="2" s="1"/>
  <c r="M3699" i="2"/>
  <c r="N3699" i="2" s="1"/>
  <c r="M3700" i="2"/>
  <c r="N3700" i="2" s="1"/>
  <c r="M3701" i="2"/>
  <c r="N3701" i="2" s="1"/>
  <c r="M3702" i="2"/>
  <c r="N3702" i="2" s="1"/>
  <c r="M3703" i="2"/>
  <c r="N3703" i="2" s="1"/>
  <c r="M3704" i="2"/>
  <c r="N3704" i="2" s="1"/>
  <c r="M3705" i="2"/>
  <c r="N3705" i="2" s="1"/>
  <c r="M3706" i="2"/>
  <c r="N3706" i="2" s="1"/>
  <c r="M3707" i="2"/>
  <c r="N3707" i="2" s="1"/>
  <c r="M3708" i="2"/>
  <c r="N3708" i="2" s="1"/>
  <c r="M3709" i="2"/>
  <c r="N3709" i="2" s="1"/>
  <c r="M3710" i="2"/>
  <c r="N3710" i="2" s="1"/>
  <c r="M3711" i="2"/>
  <c r="N3711" i="2" s="1"/>
  <c r="M3712" i="2"/>
  <c r="N3712" i="2" s="1"/>
  <c r="M3713" i="2"/>
  <c r="N3713" i="2" s="1"/>
  <c r="M3714" i="2"/>
  <c r="N3714" i="2" s="1"/>
  <c r="M3715" i="2"/>
  <c r="N3715" i="2" s="1"/>
  <c r="M3716" i="2"/>
  <c r="N3716" i="2" s="1"/>
  <c r="M3717" i="2"/>
  <c r="N3717" i="2" s="1"/>
  <c r="M3718" i="2"/>
  <c r="N3718" i="2" s="1"/>
  <c r="M3719" i="2"/>
  <c r="N3719" i="2" s="1"/>
  <c r="M3720" i="2"/>
  <c r="N3720" i="2" s="1"/>
  <c r="M3721" i="2"/>
  <c r="N3721" i="2" s="1"/>
  <c r="M3722" i="2"/>
  <c r="N3722" i="2" s="1"/>
  <c r="M3723" i="2"/>
  <c r="N3723" i="2" s="1"/>
  <c r="M3724" i="2"/>
  <c r="N3724" i="2" s="1"/>
  <c r="M3725" i="2"/>
  <c r="N3725" i="2" s="1"/>
  <c r="M3726" i="2"/>
  <c r="N3726" i="2" s="1"/>
  <c r="M3727" i="2"/>
  <c r="N3727" i="2" s="1"/>
  <c r="M3728" i="2"/>
  <c r="N3728" i="2" s="1"/>
  <c r="M3729" i="2"/>
  <c r="N3729" i="2" s="1"/>
  <c r="M3730" i="2"/>
  <c r="N3730" i="2" s="1"/>
  <c r="M3731" i="2"/>
  <c r="N3731" i="2" s="1"/>
  <c r="M3732" i="2"/>
  <c r="N3732" i="2" s="1"/>
  <c r="M3733" i="2"/>
  <c r="N3733" i="2" s="1"/>
  <c r="M3734" i="2"/>
  <c r="N3734" i="2" s="1"/>
  <c r="M3735" i="2"/>
  <c r="N3735" i="2" s="1"/>
  <c r="M3736" i="2"/>
  <c r="N3736" i="2" s="1"/>
  <c r="M3737" i="2"/>
  <c r="N3737" i="2" s="1"/>
  <c r="M3738" i="2"/>
  <c r="N3738" i="2" s="1"/>
  <c r="M3739" i="2"/>
  <c r="N3739" i="2" s="1"/>
  <c r="M3740" i="2"/>
  <c r="N3740" i="2" s="1"/>
  <c r="M3741" i="2"/>
  <c r="N3741" i="2" s="1"/>
  <c r="M3742" i="2"/>
  <c r="N3742" i="2" s="1"/>
  <c r="M3743" i="2"/>
  <c r="N3743" i="2" s="1"/>
  <c r="M3744" i="2"/>
  <c r="N3744" i="2" s="1"/>
  <c r="M3745" i="2"/>
  <c r="N3745" i="2" s="1"/>
  <c r="M3746" i="2"/>
  <c r="N3746" i="2" s="1"/>
  <c r="M3747" i="2"/>
  <c r="N3747" i="2" s="1"/>
  <c r="M3748" i="2"/>
  <c r="N3748" i="2" s="1"/>
  <c r="M3749" i="2"/>
  <c r="N3749" i="2" s="1"/>
  <c r="M3750" i="2"/>
  <c r="N3750" i="2" s="1"/>
  <c r="M3751" i="2"/>
  <c r="N3751" i="2" s="1"/>
  <c r="M3752" i="2"/>
  <c r="N3752" i="2" s="1"/>
  <c r="M3753" i="2"/>
  <c r="N3753" i="2" s="1"/>
  <c r="M3754" i="2"/>
  <c r="N3754" i="2" s="1"/>
  <c r="M3755" i="2"/>
  <c r="N3755" i="2" s="1"/>
  <c r="M3756" i="2"/>
  <c r="N3756" i="2" s="1"/>
  <c r="M3757" i="2"/>
  <c r="N3757" i="2" s="1"/>
  <c r="M3758" i="2"/>
  <c r="N3758" i="2" s="1"/>
  <c r="M3759" i="2"/>
  <c r="N3759" i="2" s="1"/>
  <c r="M3760" i="2"/>
  <c r="N3760" i="2" s="1"/>
  <c r="M3761" i="2"/>
  <c r="N3761" i="2" s="1"/>
  <c r="M3762" i="2"/>
  <c r="N3762" i="2" s="1"/>
  <c r="M3763" i="2"/>
  <c r="N3763" i="2" s="1"/>
  <c r="M3764" i="2"/>
  <c r="N3764" i="2" s="1"/>
  <c r="M3765" i="2"/>
  <c r="N3765" i="2" s="1"/>
  <c r="M3766" i="2"/>
  <c r="N3766" i="2" s="1"/>
  <c r="M3767" i="2"/>
  <c r="N3767" i="2" s="1"/>
  <c r="M3768" i="2"/>
  <c r="N3768" i="2" s="1"/>
  <c r="M3769" i="2"/>
  <c r="N3769" i="2" s="1"/>
  <c r="M3770" i="2"/>
  <c r="N3770" i="2" s="1"/>
  <c r="M3771" i="2"/>
  <c r="N3771" i="2" s="1"/>
  <c r="M3772" i="2"/>
  <c r="N3772" i="2" s="1"/>
  <c r="M3773" i="2"/>
  <c r="N3773" i="2" s="1"/>
  <c r="M3774" i="2"/>
  <c r="N3774" i="2" s="1"/>
  <c r="M3775" i="2"/>
  <c r="N3775" i="2" s="1"/>
  <c r="M3776" i="2"/>
  <c r="N3776" i="2" s="1"/>
  <c r="M3777" i="2"/>
  <c r="N3777" i="2" s="1"/>
  <c r="M3778" i="2"/>
  <c r="N3778" i="2" s="1"/>
  <c r="M3779" i="2"/>
  <c r="N3779" i="2" s="1"/>
  <c r="M3780" i="2"/>
  <c r="N3780" i="2" s="1"/>
  <c r="M3781" i="2"/>
  <c r="N3781" i="2" s="1"/>
  <c r="M3782" i="2"/>
  <c r="N3782" i="2" s="1"/>
  <c r="M3783" i="2"/>
  <c r="N3783" i="2" s="1"/>
  <c r="M3784" i="2"/>
  <c r="N3784" i="2" s="1"/>
  <c r="M3785" i="2"/>
  <c r="N3785" i="2" s="1"/>
  <c r="M3786" i="2"/>
  <c r="N3786" i="2" s="1"/>
  <c r="M3787" i="2"/>
  <c r="N3787" i="2" s="1"/>
  <c r="M3788" i="2"/>
  <c r="N3788" i="2" s="1"/>
  <c r="M3789" i="2"/>
  <c r="N3789" i="2" s="1"/>
  <c r="M3790" i="2"/>
  <c r="N3790" i="2" s="1"/>
  <c r="M3791" i="2"/>
  <c r="N3791" i="2" s="1"/>
  <c r="M3792" i="2"/>
  <c r="N3792" i="2" s="1"/>
  <c r="M3793" i="2"/>
  <c r="N3793" i="2" s="1"/>
  <c r="M3794" i="2"/>
  <c r="N3794" i="2" s="1"/>
  <c r="M3795" i="2"/>
  <c r="N3795" i="2" s="1"/>
  <c r="M3796" i="2"/>
  <c r="N3796" i="2" s="1"/>
  <c r="M3797" i="2"/>
  <c r="N3797" i="2" s="1"/>
  <c r="M3798" i="2"/>
  <c r="N3798" i="2" s="1"/>
  <c r="M3799" i="2"/>
  <c r="N3799" i="2" s="1"/>
  <c r="M3800" i="2"/>
  <c r="N3800" i="2" s="1"/>
  <c r="M3801" i="2"/>
  <c r="N3801" i="2" s="1"/>
  <c r="M3802" i="2"/>
  <c r="N3802" i="2" s="1"/>
  <c r="M3803" i="2"/>
  <c r="N3803" i="2" s="1"/>
  <c r="M3804" i="2"/>
  <c r="N3804" i="2" s="1"/>
  <c r="M3805" i="2"/>
  <c r="N3805" i="2" s="1"/>
  <c r="M3806" i="2"/>
  <c r="N3806" i="2" s="1"/>
  <c r="M3807" i="2"/>
  <c r="N3807" i="2" s="1"/>
  <c r="M3808" i="2"/>
  <c r="N3808" i="2" s="1"/>
  <c r="M3809" i="2"/>
  <c r="N3809" i="2" s="1"/>
  <c r="M3810" i="2"/>
  <c r="N3810" i="2" s="1"/>
  <c r="M3811" i="2"/>
  <c r="N3811" i="2" s="1"/>
  <c r="M3812" i="2"/>
  <c r="N3812" i="2" s="1"/>
  <c r="M3813" i="2"/>
  <c r="N3813" i="2" s="1"/>
  <c r="M3814" i="2"/>
  <c r="N3814" i="2" s="1"/>
  <c r="M3815" i="2"/>
  <c r="N3815" i="2" s="1"/>
  <c r="M3816" i="2"/>
  <c r="N3816" i="2" s="1"/>
  <c r="M3817" i="2"/>
  <c r="N3817" i="2" s="1"/>
  <c r="M3818" i="2"/>
  <c r="N3818" i="2" s="1"/>
  <c r="M3819" i="2"/>
  <c r="N3819" i="2" s="1"/>
  <c r="M3820" i="2"/>
  <c r="N3820" i="2" s="1"/>
  <c r="M3821" i="2"/>
  <c r="N3821" i="2" s="1"/>
  <c r="M3822" i="2"/>
  <c r="N3822" i="2" s="1"/>
  <c r="M3823" i="2"/>
  <c r="N3823" i="2" s="1"/>
  <c r="M3824" i="2"/>
  <c r="N3824" i="2" s="1"/>
  <c r="M3825" i="2"/>
  <c r="N3825" i="2" s="1"/>
  <c r="M3826" i="2"/>
  <c r="N3826" i="2" s="1"/>
  <c r="M3827" i="2"/>
  <c r="N3827" i="2" s="1"/>
  <c r="M3828" i="2"/>
  <c r="N3828" i="2" s="1"/>
  <c r="M3829" i="2"/>
  <c r="N3829" i="2" s="1"/>
  <c r="M3830" i="2"/>
  <c r="N3830" i="2" s="1"/>
  <c r="M3831" i="2"/>
  <c r="N3831" i="2" s="1"/>
  <c r="M3832" i="2"/>
  <c r="N3832" i="2" s="1"/>
  <c r="M3833" i="2"/>
  <c r="N3833" i="2" s="1"/>
  <c r="M3834" i="2"/>
  <c r="N3834" i="2" s="1"/>
  <c r="M3835" i="2"/>
  <c r="N3835" i="2" s="1"/>
  <c r="M3836" i="2"/>
  <c r="N3836" i="2" s="1"/>
  <c r="M3837" i="2"/>
  <c r="N3837" i="2" s="1"/>
  <c r="M3838" i="2"/>
  <c r="N3838" i="2" s="1"/>
  <c r="M3839" i="2"/>
  <c r="N3839" i="2" s="1"/>
  <c r="M3840" i="2"/>
  <c r="N3840" i="2" s="1"/>
  <c r="M3841" i="2"/>
  <c r="N3841" i="2" s="1"/>
  <c r="M3842" i="2"/>
  <c r="N3842" i="2" s="1"/>
  <c r="M3843" i="2"/>
  <c r="N3843" i="2" s="1"/>
  <c r="M3844" i="2"/>
  <c r="N3844" i="2" s="1"/>
  <c r="D3332" i="2" l="1"/>
  <c r="N1336" i="2"/>
  <c r="D1336" i="2"/>
  <c r="D1340" i="2"/>
  <c r="D1344" i="2"/>
  <c r="D1348" i="2"/>
  <c r="D1352" i="2"/>
  <c r="D1356" i="2"/>
  <c r="D1360" i="2"/>
  <c r="D1364" i="2"/>
  <c r="D1368" i="2"/>
  <c r="D1372" i="2"/>
  <c r="D1376" i="2"/>
  <c r="D1380" i="2"/>
  <c r="D1384" i="2"/>
  <c r="D1388" i="2"/>
  <c r="D1392" i="2"/>
  <c r="D1396" i="2"/>
  <c r="D1400" i="2"/>
  <c r="D1404" i="2"/>
  <c r="D1408" i="2"/>
  <c r="D1412" i="2"/>
  <c r="D1416" i="2"/>
  <c r="D1420" i="2"/>
  <c r="D1424" i="2"/>
  <c r="D1428" i="2"/>
  <c r="D1432" i="2"/>
  <c r="D1436" i="2"/>
  <c r="D1440" i="2"/>
  <c r="D1444" i="2"/>
  <c r="D1448" i="2"/>
  <c r="D1452" i="2"/>
  <c r="D1456" i="2"/>
  <c r="D1460" i="2"/>
  <c r="D1464" i="2"/>
  <c r="D1468" i="2"/>
  <c r="D1472" i="2"/>
  <c r="D1476" i="2"/>
  <c r="D1480" i="2"/>
  <c r="D1484" i="2"/>
  <c r="D1488" i="2"/>
  <c r="D1492" i="2"/>
  <c r="D1496" i="2"/>
  <c r="D1500" i="2"/>
  <c r="D1504" i="2"/>
  <c r="D1508" i="2"/>
  <c r="D1512" i="2"/>
  <c r="D1516" i="2"/>
  <c r="D1520" i="2"/>
  <c r="D1524" i="2"/>
  <c r="D1528" i="2"/>
  <c r="D1532" i="2"/>
  <c r="D1536" i="2"/>
  <c r="D1540" i="2"/>
  <c r="D1544" i="2"/>
  <c r="D1548" i="2"/>
  <c r="D1552" i="2"/>
  <c r="D1556" i="2"/>
  <c r="D1560" i="2"/>
  <c r="D1564" i="2"/>
  <c r="D1337" i="2"/>
  <c r="D1341" i="2"/>
  <c r="D1345" i="2"/>
  <c r="D1349" i="2"/>
  <c r="D1353" i="2"/>
  <c r="D1357" i="2"/>
  <c r="D1361" i="2"/>
  <c r="D1365" i="2"/>
  <c r="D1369" i="2"/>
  <c r="D1373" i="2"/>
  <c r="D1377" i="2"/>
  <c r="D1381" i="2"/>
  <c r="D1385" i="2"/>
  <c r="D1389" i="2"/>
  <c r="D1393" i="2"/>
  <c r="D1397" i="2"/>
  <c r="D1401" i="2"/>
  <c r="D1405" i="2"/>
  <c r="D1409" i="2"/>
  <c r="D1413" i="2"/>
  <c r="D1417" i="2"/>
  <c r="D1421" i="2"/>
  <c r="D1425" i="2"/>
  <c r="D1429" i="2"/>
  <c r="D1433" i="2"/>
  <c r="D1437" i="2"/>
  <c r="D1441" i="2"/>
  <c r="D1445" i="2"/>
  <c r="D1449" i="2"/>
  <c r="D1453" i="2"/>
  <c r="D1457" i="2"/>
  <c r="D1461" i="2"/>
  <c r="D1465" i="2"/>
  <c r="D1469" i="2"/>
  <c r="D1473" i="2"/>
  <c r="D1477" i="2"/>
  <c r="D1481" i="2"/>
  <c r="D1485" i="2"/>
  <c r="D1489" i="2"/>
  <c r="D1493" i="2"/>
  <c r="D1497" i="2"/>
  <c r="D1501" i="2"/>
  <c r="D1505" i="2"/>
  <c r="D1509" i="2"/>
  <c r="D1513" i="2"/>
  <c r="D1517" i="2"/>
  <c r="D1521" i="2"/>
  <c r="D1525" i="2"/>
  <c r="D1529" i="2"/>
  <c r="D1533" i="2"/>
  <c r="D1537" i="2"/>
  <c r="D1541" i="2"/>
  <c r="D1545" i="2"/>
  <c r="D1549" i="2"/>
  <c r="D1553" i="2"/>
  <c r="D1557" i="2"/>
  <c r="D1561" i="2"/>
  <c r="D1565" i="2"/>
  <c r="D1338" i="2"/>
  <c r="D1342" i="2"/>
  <c r="D1346" i="2"/>
  <c r="D1350" i="2"/>
  <c r="D1354" i="2"/>
  <c r="D1358" i="2"/>
  <c r="D1362" i="2"/>
  <c r="D1366" i="2"/>
  <c r="D1370" i="2"/>
  <c r="D1374" i="2"/>
  <c r="D1378" i="2"/>
  <c r="D1382" i="2"/>
  <c r="D1386" i="2"/>
  <c r="D1390" i="2"/>
  <c r="D1394" i="2"/>
  <c r="D1398" i="2"/>
  <c r="D1402" i="2"/>
  <c r="D1406" i="2"/>
  <c r="D1410" i="2"/>
  <c r="D1414" i="2"/>
  <c r="D1418" i="2"/>
  <c r="D1422" i="2"/>
  <c r="D1426" i="2"/>
  <c r="D1430" i="2"/>
  <c r="D1434" i="2"/>
  <c r="D1438" i="2"/>
  <c r="D1442" i="2"/>
  <c r="D1446" i="2"/>
  <c r="D1450" i="2"/>
  <c r="D1454" i="2"/>
  <c r="D1458" i="2"/>
  <c r="D1462" i="2"/>
  <c r="D1466" i="2"/>
  <c r="D1470" i="2"/>
  <c r="D1474" i="2"/>
  <c r="D1478" i="2"/>
  <c r="D1482" i="2"/>
  <c r="D1486" i="2"/>
  <c r="D1490" i="2"/>
  <c r="D1494" i="2"/>
  <c r="D1498" i="2"/>
  <c r="D1502" i="2"/>
  <c r="D1506" i="2"/>
  <c r="D1510" i="2"/>
  <c r="D1514" i="2"/>
  <c r="D1518" i="2"/>
  <c r="D1522" i="2"/>
  <c r="D1526" i="2"/>
  <c r="D1530" i="2"/>
  <c r="D1534" i="2"/>
  <c r="D1538" i="2"/>
  <c r="D1542" i="2"/>
  <c r="D1546" i="2"/>
  <c r="D1550" i="2"/>
  <c r="D1554" i="2"/>
  <c r="D1558" i="2"/>
  <c r="D1562" i="2"/>
  <c r="D1503" i="2"/>
  <c r="D1511" i="2"/>
  <c r="D1515" i="2"/>
  <c r="D1519" i="2"/>
  <c r="D1523" i="2"/>
  <c r="D1527" i="2"/>
  <c r="D1531" i="2"/>
  <c r="D1535" i="2"/>
  <c r="D1539" i="2"/>
  <c r="D1543" i="2"/>
  <c r="D1547" i="2"/>
  <c r="D1551" i="2"/>
  <c r="D1555" i="2"/>
  <c r="D1563" i="2"/>
  <c r="D1339" i="2"/>
  <c r="D1343" i="2"/>
  <c r="D1347" i="2"/>
  <c r="D1351" i="2"/>
  <c r="D1355" i="2"/>
  <c r="D1359" i="2"/>
  <c r="D1363" i="2"/>
  <c r="D1367" i="2"/>
  <c r="D1371" i="2"/>
  <c r="D1375" i="2"/>
  <c r="D1379" i="2"/>
  <c r="D1383" i="2"/>
  <c r="D1387" i="2"/>
  <c r="D1391" i="2"/>
  <c r="D1395" i="2"/>
  <c r="D1399" i="2"/>
  <c r="D1403" i="2"/>
  <c r="D1407" i="2"/>
  <c r="D1411" i="2"/>
  <c r="D1415" i="2"/>
  <c r="D1419" i="2"/>
  <c r="D1423" i="2"/>
  <c r="D1427" i="2"/>
  <c r="D1431" i="2"/>
  <c r="D1435" i="2"/>
  <c r="D1439" i="2"/>
  <c r="D1443" i="2"/>
  <c r="D1447" i="2"/>
  <c r="D1451" i="2"/>
  <c r="D1455" i="2"/>
  <c r="D1459" i="2"/>
  <c r="D1463" i="2"/>
  <c r="D1467" i="2"/>
  <c r="D1471" i="2"/>
  <c r="D1475" i="2"/>
  <c r="D1479" i="2"/>
  <c r="D1483" i="2"/>
  <c r="D1487" i="2"/>
  <c r="D1491" i="2"/>
  <c r="D1495" i="2"/>
  <c r="D1499" i="2"/>
  <c r="D1507" i="2"/>
  <c r="D1559" i="2"/>
  <c r="N1575" i="2"/>
  <c r="D1579" i="2"/>
  <c r="D1583" i="2"/>
  <c r="D1587" i="2"/>
  <c r="D1591" i="2"/>
  <c r="D1595" i="2"/>
  <c r="D1581" i="2"/>
  <c r="D1585" i="2"/>
  <c r="D1593" i="2"/>
  <c r="D1576" i="2"/>
  <c r="D1580" i="2"/>
  <c r="D1584" i="2"/>
  <c r="D1588" i="2"/>
  <c r="D1592" i="2"/>
  <c r="D1577" i="2"/>
  <c r="D1589" i="2"/>
  <c r="D1578" i="2"/>
  <c r="D1582" i="2"/>
  <c r="D1586" i="2"/>
  <c r="D1590" i="2"/>
  <c r="D1594" i="2"/>
  <c r="D3240" i="2"/>
  <c r="D3239" i="2"/>
  <c r="D3022" i="2"/>
  <c r="N3331" i="2"/>
  <c r="D3333" i="2"/>
  <c r="D10" i="2"/>
  <c r="D14" i="2"/>
  <c r="D18" i="2"/>
  <c r="D22" i="2"/>
  <c r="D26" i="2"/>
  <c r="D30" i="2"/>
  <c r="D34" i="2"/>
  <c r="D38" i="2"/>
  <c r="D42" i="2"/>
  <c r="D46" i="2"/>
  <c r="D50" i="2"/>
  <c r="D54" i="2"/>
  <c r="D58" i="2"/>
  <c r="D62" i="2"/>
  <c r="D5" i="2"/>
  <c r="D9" i="2"/>
  <c r="D11" i="2"/>
  <c r="D15" i="2"/>
  <c r="D19" i="2"/>
  <c r="D23" i="2"/>
  <c r="D27" i="2"/>
  <c r="D31" i="2"/>
  <c r="D35" i="2"/>
  <c r="D39" i="2"/>
  <c r="D43" i="2"/>
  <c r="D47" i="2"/>
  <c r="D51" i="2"/>
  <c r="D55" i="2"/>
  <c r="D59" i="2"/>
  <c r="D63" i="2"/>
  <c r="D6" i="2"/>
  <c r="D45" i="2"/>
  <c r="D57" i="2"/>
  <c r="D4" i="2"/>
  <c r="D12" i="2"/>
  <c r="D16" i="2"/>
  <c r="D20" i="2"/>
  <c r="D24" i="2"/>
  <c r="D28" i="2"/>
  <c r="D32" i="2"/>
  <c r="D36" i="2"/>
  <c r="D40" i="2"/>
  <c r="D44" i="2"/>
  <c r="D48" i="2"/>
  <c r="D52" i="2"/>
  <c r="D56" i="2"/>
  <c r="D60" i="2"/>
  <c r="D64" i="2"/>
  <c r="D7" i="2"/>
  <c r="D13" i="2"/>
  <c r="D17" i="2"/>
  <c r="D21" i="2"/>
  <c r="D25" i="2"/>
  <c r="D29" i="2"/>
  <c r="D33" i="2"/>
  <c r="D37" i="2"/>
  <c r="D41" i="2"/>
  <c r="D49" i="2"/>
  <c r="D53" i="2"/>
  <c r="D61" i="2"/>
  <c r="D8" i="2"/>
  <c r="N3" i="2"/>
  <c r="D3" i="2"/>
  <c r="N2598" i="2"/>
  <c r="D2591" i="2"/>
  <c r="D2595" i="2"/>
  <c r="D2599" i="2"/>
  <c r="D2603" i="2"/>
  <c r="D2607" i="2"/>
  <c r="D2611" i="2"/>
  <c r="D2615" i="2"/>
  <c r="D2619" i="2"/>
  <c r="D2623" i="2"/>
  <c r="D2627" i="2"/>
  <c r="D2631" i="2"/>
  <c r="D2635" i="2"/>
  <c r="D2639" i="2"/>
  <c r="D2643" i="2"/>
  <c r="D2647" i="2"/>
  <c r="D2651" i="2"/>
  <c r="D2655" i="2"/>
  <c r="D2659" i="2"/>
  <c r="D2663" i="2"/>
  <c r="D2667" i="2"/>
  <c r="D2671" i="2"/>
  <c r="D2675" i="2"/>
  <c r="D2679" i="2"/>
  <c r="D2592" i="2"/>
  <c r="D2596" i="2"/>
  <c r="D2600" i="2"/>
  <c r="D2604" i="2"/>
  <c r="D2608" i="2"/>
  <c r="D2612" i="2"/>
  <c r="D2616" i="2"/>
  <c r="D2620" i="2"/>
  <c r="D2624" i="2"/>
  <c r="D2628" i="2"/>
  <c r="D2632" i="2"/>
  <c r="D2636" i="2"/>
  <c r="D2640" i="2"/>
  <c r="D2644" i="2"/>
  <c r="D2648" i="2"/>
  <c r="D2652" i="2"/>
  <c r="D2656" i="2"/>
  <c r="D2660" i="2"/>
  <c r="D2664" i="2"/>
  <c r="D2668" i="2"/>
  <c r="D2672" i="2"/>
  <c r="D2676" i="2"/>
  <c r="D2680" i="2"/>
  <c r="D2593" i="2"/>
  <c r="D2597" i="2"/>
  <c r="D2601" i="2"/>
  <c r="D2605" i="2"/>
  <c r="D2609" i="2"/>
  <c r="D2613" i="2"/>
  <c r="D2617" i="2"/>
  <c r="D2621" i="2"/>
  <c r="D2625" i="2"/>
  <c r="D2629" i="2"/>
  <c r="D2633" i="2"/>
  <c r="D2637" i="2"/>
  <c r="D2641" i="2"/>
  <c r="D2645" i="2"/>
  <c r="D2649" i="2"/>
  <c r="D2653" i="2"/>
  <c r="D2657" i="2"/>
  <c r="D2661" i="2"/>
  <c r="D2665" i="2"/>
  <c r="D2669" i="2"/>
  <c r="D2673" i="2"/>
  <c r="D2677" i="2"/>
  <c r="D2594" i="2"/>
  <c r="D2598" i="2"/>
  <c r="D2602" i="2"/>
  <c r="D2606" i="2"/>
  <c r="D2610" i="2"/>
  <c r="D2614" i="2"/>
  <c r="D2618" i="2"/>
  <c r="D2622" i="2"/>
  <c r="D2626" i="2"/>
  <c r="D2630" i="2"/>
  <c r="D2634" i="2"/>
  <c r="D2638" i="2"/>
  <c r="D2642" i="2"/>
  <c r="D2646" i="2"/>
  <c r="D2650" i="2"/>
  <c r="D2654" i="2"/>
  <c r="D2658" i="2"/>
  <c r="D2662" i="2"/>
  <c r="D2666" i="2"/>
  <c r="D2670" i="2"/>
  <c r="D2674" i="2"/>
  <c r="D2678" i="2"/>
  <c r="D1623" i="2"/>
  <c r="N3427" i="2"/>
  <c r="D3427" i="2"/>
  <c r="D3431" i="2"/>
  <c r="D3435" i="2"/>
  <c r="D3439" i="2"/>
  <c r="D3428" i="2"/>
  <c r="D3432" i="2"/>
  <c r="D3436" i="2"/>
  <c r="D3440" i="2"/>
  <c r="D3429" i="2"/>
  <c r="D3433" i="2"/>
  <c r="D3437" i="2"/>
  <c r="D3430" i="2"/>
  <c r="D3434" i="2"/>
  <c r="D3438" i="2"/>
  <c r="N3320" i="2"/>
  <c r="D3322" i="2"/>
  <c r="D3326" i="2"/>
  <c r="D3321" i="2"/>
  <c r="D3325" i="2"/>
  <c r="D3323" i="2"/>
  <c r="D3320" i="2"/>
  <c r="D3324" i="2"/>
  <c r="N3311" i="2"/>
  <c r="D3314" i="2"/>
  <c r="D3318" i="2"/>
  <c r="D3311" i="2"/>
  <c r="D3315" i="2"/>
  <c r="D3319" i="2"/>
  <c r="D3313" i="2"/>
  <c r="D3312" i="2"/>
  <c r="D3316" i="2"/>
  <c r="D3317" i="2"/>
  <c r="N3300" i="2"/>
  <c r="D3300" i="2"/>
  <c r="D3304" i="2"/>
  <c r="D3310" i="2"/>
  <c r="D3307" i="2"/>
  <c r="D3309" i="2"/>
  <c r="D3301" i="2"/>
  <c r="D3305" i="2"/>
  <c r="D3302" i="2"/>
  <c r="D3306" i="2"/>
  <c r="D3308" i="2"/>
  <c r="D3303" i="2"/>
  <c r="N3082" i="2"/>
  <c r="D3082" i="2"/>
  <c r="D3086" i="2"/>
  <c r="D3090" i="2"/>
  <c r="D3094" i="2"/>
  <c r="D3098" i="2"/>
  <c r="D3102" i="2"/>
  <c r="D3106" i="2"/>
  <c r="D3110" i="2"/>
  <c r="D3114" i="2"/>
  <c r="D3118" i="2"/>
  <c r="D3085" i="2"/>
  <c r="D3097" i="2"/>
  <c r="D3101" i="2"/>
  <c r="D3113" i="2"/>
  <c r="D3117" i="2"/>
  <c r="D3083" i="2"/>
  <c r="D3087" i="2"/>
  <c r="D3091" i="2"/>
  <c r="D3095" i="2"/>
  <c r="D3099" i="2"/>
  <c r="D3103" i="2"/>
  <c r="D3107" i="2"/>
  <c r="D3111" i="2"/>
  <c r="D3115" i="2"/>
  <c r="D3119" i="2"/>
  <c r="D3089" i="2"/>
  <c r="D3105" i="2"/>
  <c r="D3121" i="2"/>
  <c r="D3084" i="2"/>
  <c r="D3088" i="2"/>
  <c r="D3092" i="2"/>
  <c r="D3096" i="2"/>
  <c r="D3100" i="2"/>
  <c r="D3104" i="2"/>
  <c r="D3108" i="2"/>
  <c r="D3112" i="2"/>
  <c r="D3116" i="2"/>
  <c r="D3120" i="2"/>
  <c r="D3093" i="2"/>
  <c r="D3109" i="2"/>
  <c r="N3203" i="2"/>
  <c r="D3205" i="2"/>
  <c r="D3209" i="2"/>
  <c r="D3213" i="2"/>
  <c r="D3217" i="2"/>
  <c r="D3221" i="2"/>
  <c r="D3225" i="2"/>
  <c r="D3229" i="2"/>
  <c r="D3233" i="2"/>
  <c r="D3237" i="2"/>
  <c r="D3243" i="2"/>
  <c r="D3206" i="2"/>
  <c r="D3210" i="2"/>
  <c r="D3214" i="2"/>
  <c r="D3218" i="2"/>
  <c r="D3222" i="2"/>
  <c r="D3226" i="2"/>
  <c r="D3230" i="2"/>
  <c r="D3234" i="2"/>
  <c r="D3238" i="2"/>
  <c r="D3203" i="2"/>
  <c r="D3207" i="2"/>
  <c r="D3211" i="2"/>
  <c r="D3215" i="2"/>
  <c r="D3219" i="2"/>
  <c r="D3223" i="2"/>
  <c r="D3227" i="2"/>
  <c r="D3231" i="2"/>
  <c r="D3235" i="2"/>
  <c r="D3241" i="2"/>
  <c r="D3204" i="2"/>
  <c r="D3208" i="2"/>
  <c r="D3212" i="2"/>
  <c r="D3216" i="2"/>
  <c r="D3220" i="2"/>
  <c r="D3224" i="2"/>
  <c r="D3228" i="2"/>
  <c r="D3232" i="2"/>
  <c r="D3236" i="2"/>
  <c r="D3242" i="2"/>
  <c r="N3024" i="2"/>
  <c r="D3024" i="2"/>
  <c r="D3028" i="2"/>
  <c r="D3032" i="2"/>
  <c r="D3036" i="2"/>
  <c r="D3040" i="2"/>
  <c r="D3025" i="2"/>
  <c r="D3029" i="2"/>
  <c r="D3033" i="2"/>
  <c r="D3037" i="2"/>
  <c r="D3041" i="2"/>
  <c r="D3026" i="2"/>
  <c r="D3030" i="2"/>
  <c r="D3034" i="2"/>
  <c r="D3038" i="2"/>
  <c r="D3027" i="2"/>
  <c r="D3031" i="2"/>
  <c r="D3035" i="2"/>
  <c r="D3039" i="2"/>
  <c r="N2681" i="2"/>
  <c r="D2681" i="2"/>
  <c r="D2685" i="2"/>
  <c r="D2689" i="2"/>
  <c r="D2693" i="2"/>
  <c r="D2697" i="2"/>
  <c r="D2701" i="2"/>
  <c r="D2705" i="2"/>
  <c r="D2709" i="2"/>
  <c r="D2713" i="2"/>
  <c r="D2717" i="2"/>
  <c r="D2721" i="2"/>
  <c r="D2725" i="2"/>
  <c r="D2729" i="2"/>
  <c r="D2733" i="2"/>
  <c r="D2737" i="2"/>
  <c r="D2741" i="2"/>
  <c r="D2745" i="2"/>
  <c r="D2749" i="2"/>
  <c r="D2753" i="2"/>
  <c r="D2757" i="2"/>
  <c r="D2761" i="2"/>
  <c r="D2765" i="2"/>
  <c r="D2769" i="2"/>
  <c r="D2773" i="2"/>
  <c r="D2777" i="2"/>
  <c r="D2781" i="2"/>
  <c r="D2785" i="2"/>
  <c r="D2789" i="2"/>
  <c r="D2793" i="2"/>
  <c r="D2797" i="2"/>
  <c r="D2801" i="2"/>
  <c r="D2805" i="2"/>
  <c r="D2809" i="2"/>
  <c r="D2813" i="2"/>
  <c r="D2817" i="2"/>
  <c r="D2821" i="2"/>
  <c r="D2825" i="2"/>
  <c r="D2829" i="2"/>
  <c r="D2833" i="2"/>
  <c r="D2802" i="2"/>
  <c r="D2818" i="2"/>
  <c r="D2834" i="2"/>
  <c r="D2682" i="2"/>
  <c r="D2686" i="2"/>
  <c r="D2690" i="2"/>
  <c r="D2694" i="2"/>
  <c r="D2698" i="2"/>
  <c r="D2702" i="2"/>
  <c r="D2706" i="2"/>
  <c r="D2710" i="2"/>
  <c r="D2714" i="2"/>
  <c r="D2718" i="2"/>
  <c r="D2722" i="2"/>
  <c r="D2726" i="2"/>
  <c r="D2730" i="2"/>
  <c r="D2734" i="2"/>
  <c r="D2738" i="2"/>
  <c r="D2742" i="2"/>
  <c r="D2746" i="2"/>
  <c r="D2750" i="2"/>
  <c r="D2754" i="2"/>
  <c r="D2758" i="2"/>
  <c r="D2762" i="2"/>
  <c r="D2766" i="2"/>
  <c r="D2770" i="2"/>
  <c r="D2774" i="2"/>
  <c r="D2778" i="2"/>
  <c r="D2782" i="2"/>
  <c r="D2786" i="2"/>
  <c r="D2790" i="2"/>
  <c r="D2794" i="2"/>
  <c r="D2798" i="2"/>
  <c r="D2683" i="2"/>
  <c r="D2687" i="2"/>
  <c r="D2691" i="2"/>
  <c r="D2695" i="2"/>
  <c r="D2699" i="2"/>
  <c r="D2703" i="2"/>
  <c r="D2707" i="2"/>
  <c r="D2711" i="2"/>
  <c r="D2715" i="2"/>
  <c r="D2719" i="2"/>
  <c r="D2723" i="2"/>
  <c r="D2727" i="2"/>
  <c r="D2731" i="2"/>
  <c r="D2735" i="2"/>
  <c r="D2739" i="2"/>
  <c r="D2743" i="2"/>
  <c r="D2747" i="2"/>
  <c r="D2751" i="2"/>
  <c r="D2755" i="2"/>
  <c r="D2759" i="2"/>
  <c r="D2763" i="2"/>
  <c r="D2767" i="2"/>
  <c r="D2771" i="2"/>
  <c r="D2775" i="2"/>
  <c r="D2779" i="2"/>
  <c r="D2783" i="2"/>
  <c r="D2787" i="2"/>
  <c r="D2791" i="2"/>
  <c r="D2795" i="2"/>
  <c r="D2799" i="2"/>
  <c r="D2803" i="2"/>
  <c r="D2807" i="2"/>
  <c r="D2811" i="2"/>
  <c r="D2815" i="2"/>
  <c r="D2819" i="2"/>
  <c r="D2823" i="2"/>
  <c r="D2827" i="2"/>
  <c r="D2831" i="2"/>
  <c r="D2835" i="2"/>
  <c r="D2806" i="2"/>
  <c r="D2814" i="2"/>
  <c r="D2822" i="2"/>
  <c r="D2830" i="2"/>
  <c r="D2684" i="2"/>
  <c r="D2688" i="2"/>
  <c r="D2692" i="2"/>
  <c r="D2696" i="2"/>
  <c r="D2700" i="2"/>
  <c r="D2704" i="2"/>
  <c r="D2708" i="2"/>
  <c r="D2712" i="2"/>
  <c r="D2716" i="2"/>
  <c r="D2720" i="2"/>
  <c r="D2724" i="2"/>
  <c r="D2728" i="2"/>
  <c r="D2732" i="2"/>
  <c r="D2736" i="2"/>
  <c r="D2740" i="2"/>
  <c r="D2744" i="2"/>
  <c r="D2748" i="2"/>
  <c r="D2752" i="2"/>
  <c r="D2756" i="2"/>
  <c r="D2760" i="2"/>
  <c r="D2764" i="2"/>
  <c r="D2768" i="2"/>
  <c r="D2772" i="2"/>
  <c r="D2776" i="2"/>
  <c r="D2780" i="2"/>
  <c r="D2784" i="2"/>
  <c r="D2788" i="2"/>
  <c r="D2792" i="2"/>
  <c r="D2796" i="2"/>
  <c r="D2800" i="2"/>
  <c r="D2804" i="2"/>
  <c r="D2808" i="2"/>
  <c r="D2812" i="2"/>
  <c r="D2816" i="2"/>
  <c r="D2820" i="2"/>
  <c r="D2824" i="2"/>
  <c r="D2828" i="2"/>
  <c r="D2832" i="2"/>
  <c r="D2810" i="2"/>
  <c r="D2826" i="2"/>
  <c r="N2393" i="2"/>
  <c r="D2393" i="2"/>
  <c r="D2397" i="2"/>
  <c r="D2401" i="2"/>
  <c r="D2405" i="2"/>
  <c r="D2409" i="2"/>
  <c r="D2413" i="2"/>
  <c r="D2417" i="2"/>
  <c r="D2421" i="2"/>
  <c r="D2425" i="2"/>
  <c r="D2429" i="2"/>
  <c r="D2433" i="2"/>
  <c r="D2437" i="2"/>
  <c r="D2441" i="2"/>
  <c r="D2445" i="2"/>
  <c r="D2449" i="2"/>
  <c r="D2453" i="2"/>
  <c r="D2457" i="2"/>
  <c r="D2461" i="2"/>
  <c r="D2465" i="2"/>
  <c r="D2469" i="2"/>
  <c r="D2473" i="2"/>
  <c r="D2477" i="2"/>
  <c r="D2481" i="2"/>
  <c r="D2485" i="2"/>
  <c r="D2489" i="2"/>
  <c r="D2493" i="2"/>
  <c r="D2497" i="2"/>
  <c r="D2501" i="2"/>
  <c r="D2505" i="2"/>
  <c r="D2509" i="2"/>
  <c r="D2513" i="2"/>
  <c r="D2517" i="2"/>
  <c r="D2521" i="2"/>
  <c r="D2525" i="2"/>
  <c r="D2529" i="2"/>
  <c r="D2533" i="2"/>
  <c r="D2537" i="2"/>
  <c r="D2541" i="2"/>
  <c r="D2545" i="2"/>
  <c r="D2549" i="2"/>
  <c r="D2553" i="2"/>
  <c r="D2557" i="2"/>
  <c r="D2561" i="2"/>
  <c r="D2565" i="2"/>
  <c r="D2569" i="2"/>
  <c r="D2573" i="2"/>
  <c r="D2577" i="2"/>
  <c r="D2581" i="2"/>
  <c r="D2585" i="2"/>
  <c r="D2589" i="2"/>
  <c r="D2394" i="2"/>
  <c r="D2398" i="2"/>
  <c r="D2402" i="2"/>
  <c r="D2406" i="2"/>
  <c r="D2410" i="2"/>
  <c r="D2414" i="2"/>
  <c r="D2418" i="2"/>
  <c r="D2422" i="2"/>
  <c r="D2426" i="2"/>
  <c r="D2430" i="2"/>
  <c r="D2434" i="2"/>
  <c r="D2438" i="2"/>
  <c r="D2442" i="2"/>
  <c r="D2446" i="2"/>
  <c r="D2450" i="2"/>
  <c r="D2454" i="2"/>
  <c r="D2458" i="2"/>
  <c r="D2462" i="2"/>
  <c r="D2466" i="2"/>
  <c r="D2470" i="2"/>
  <c r="D2474" i="2"/>
  <c r="D2478" i="2"/>
  <c r="D2482" i="2"/>
  <c r="D2486" i="2"/>
  <c r="D2490" i="2"/>
  <c r="D2494" i="2"/>
  <c r="D2498" i="2"/>
  <c r="D2502" i="2"/>
  <c r="D2506" i="2"/>
  <c r="D2510" i="2"/>
  <c r="D2514" i="2"/>
  <c r="D2518" i="2"/>
  <c r="D2522" i="2"/>
  <c r="D2526" i="2"/>
  <c r="D2530" i="2"/>
  <c r="D2534" i="2"/>
  <c r="D2538" i="2"/>
  <c r="D2542" i="2"/>
  <c r="D2546" i="2"/>
  <c r="D2550" i="2"/>
  <c r="D2554" i="2"/>
  <c r="D2558" i="2"/>
  <c r="D2562" i="2"/>
  <c r="D2566" i="2"/>
  <c r="D2570" i="2"/>
  <c r="D2574" i="2"/>
  <c r="D2578" i="2"/>
  <c r="D2582" i="2"/>
  <c r="D2586" i="2"/>
  <c r="D2590" i="2"/>
  <c r="D2395" i="2"/>
  <c r="D2399" i="2"/>
  <c r="D2403" i="2"/>
  <c r="D2407" i="2"/>
  <c r="D2411" i="2"/>
  <c r="D2415" i="2"/>
  <c r="D2419" i="2"/>
  <c r="D2423" i="2"/>
  <c r="D2427" i="2"/>
  <c r="D2431" i="2"/>
  <c r="D2435" i="2"/>
  <c r="D2439" i="2"/>
  <c r="D2443" i="2"/>
  <c r="D2447" i="2"/>
  <c r="D2451" i="2"/>
  <c r="D2455" i="2"/>
  <c r="D2459" i="2"/>
  <c r="D2463" i="2"/>
  <c r="D2467" i="2"/>
  <c r="D2471" i="2"/>
  <c r="D2475" i="2"/>
  <c r="D2479" i="2"/>
  <c r="D2483" i="2"/>
  <c r="D2487" i="2"/>
  <c r="D2491" i="2"/>
  <c r="D2495" i="2"/>
  <c r="D2499" i="2"/>
  <c r="D2503" i="2"/>
  <c r="D2507" i="2"/>
  <c r="D2511" i="2"/>
  <c r="D2515" i="2"/>
  <c r="D2519" i="2"/>
  <c r="D2523" i="2"/>
  <c r="D2527" i="2"/>
  <c r="D2531" i="2"/>
  <c r="D2535" i="2"/>
  <c r="D2539" i="2"/>
  <c r="D2543" i="2"/>
  <c r="D2547" i="2"/>
  <c r="D2551" i="2"/>
  <c r="D2555" i="2"/>
  <c r="D2559" i="2"/>
  <c r="D2563" i="2"/>
  <c r="D2567" i="2"/>
  <c r="D2571" i="2"/>
  <c r="D2575" i="2"/>
  <c r="D2579" i="2"/>
  <c r="D2583" i="2"/>
  <c r="D2587" i="2"/>
  <c r="D2396" i="2"/>
  <c r="D2400" i="2"/>
  <c r="D2404" i="2"/>
  <c r="D2408" i="2"/>
  <c r="D2412" i="2"/>
  <c r="D2416" i="2"/>
  <c r="D2420" i="2"/>
  <c r="D2424" i="2"/>
  <c r="D2428" i="2"/>
  <c r="D2432" i="2"/>
  <c r="D2436" i="2"/>
  <c r="D2440" i="2"/>
  <c r="D2444" i="2"/>
  <c r="D2448" i="2"/>
  <c r="D2452" i="2"/>
  <c r="D2456" i="2"/>
  <c r="D2460" i="2"/>
  <c r="D2464" i="2"/>
  <c r="D2468" i="2"/>
  <c r="D2472" i="2"/>
  <c r="D2476" i="2"/>
  <c r="D2480" i="2"/>
  <c r="D2484" i="2"/>
  <c r="D2488" i="2"/>
  <c r="D2492" i="2"/>
  <c r="D2496" i="2"/>
  <c r="D2500" i="2"/>
  <c r="D2504" i="2"/>
  <c r="D2508" i="2"/>
  <c r="D2512" i="2"/>
  <c r="D2516" i="2"/>
  <c r="D2520" i="2"/>
  <c r="D2524" i="2"/>
  <c r="D2528" i="2"/>
  <c r="D2532" i="2"/>
  <c r="D2536" i="2"/>
  <c r="D2540" i="2"/>
  <c r="D2544" i="2"/>
  <c r="D2548" i="2"/>
  <c r="D2552" i="2"/>
  <c r="D2556" i="2"/>
  <c r="D2560" i="2"/>
  <c r="D2564" i="2"/>
  <c r="D2568" i="2"/>
  <c r="D2572" i="2"/>
  <c r="D2576" i="2"/>
  <c r="D2580" i="2"/>
  <c r="D2584" i="2"/>
  <c r="D2588" i="2"/>
  <c r="N2087" i="2"/>
  <c r="D2087" i="2"/>
  <c r="D2091" i="2"/>
  <c r="D2095" i="2"/>
  <c r="D2099" i="2"/>
  <c r="D2103" i="2"/>
  <c r="D2107" i="2"/>
  <c r="D2111" i="2"/>
  <c r="D2115" i="2"/>
  <c r="D2119" i="2"/>
  <c r="D2123" i="2"/>
  <c r="D2127" i="2"/>
  <c r="D2131" i="2"/>
  <c r="D2135" i="2"/>
  <c r="D2139" i="2"/>
  <c r="D2143" i="2"/>
  <c r="D2147" i="2"/>
  <c r="D2151" i="2"/>
  <c r="D2155" i="2"/>
  <c r="D2159" i="2"/>
  <c r="D2163" i="2"/>
  <c r="D2167" i="2"/>
  <c r="D2171" i="2"/>
  <c r="D2175" i="2"/>
  <c r="D2179" i="2"/>
  <c r="D2183" i="2"/>
  <c r="D2187" i="2"/>
  <c r="D2191" i="2"/>
  <c r="D2195" i="2"/>
  <c r="D2199" i="2"/>
  <c r="D2203" i="2"/>
  <c r="D2207" i="2"/>
  <c r="D2211" i="2"/>
  <c r="D2215" i="2"/>
  <c r="D2219" i="2"/>
  <c r="D2223" i="2"/>
  <c r="D2227" i="2"/>
  <c r="D2231" i="2"/>
  <c r="D2235" i="2"/>
  <c r="D2239" i="2"/>
  <c r="D2243" i="2"/>
  <c r="D2247" i="2"/>
  <c r="D2251" i="2"/>
  <c r="D2255" i="2"/>
  <c r="D2259" i="2"/>
  <c r="D2263" i="2"/>
  <c r="D2267" i="2"/>
  <c r="D2271" i="2"/>
  <c r="D2275" i="2"/>
  <c r="D2279" i="2"/>
  <c r="D2283" i="2"/>
  <c r="D2287" i="2"/>
  <c r="D2291" i="2"/>
  <c r="D2295" i="2"/>
  <c r="D2299" i="2"/>
  <c r="D2303" i="2"/>
  <c r="D2307" i="2"/>
  <c r="D2311" i="2"/>
  <c r="D2315" i="2"/>
  <c r="D2319" i="2"/>
  <c r="D2088" i="2"/>
  <c r="D2092" i="2"/>
  <c r="D2096" i="2"/>
  <c r="D2100" i="2"/>
  <c r="D2104" i="2"/>
  <c r="D2108" i="2"/>
  <c r="D2112" i="2"/>
  <c r="D2116" i="2"/>
  <c r="D2120" i="2"/>
  <c r="D2124" i="2"/>
  <c r="D2128" i="2"/>
  <c r="D2132" i="2"/>
  <c r="D2136" i="2"/>
  <c r="D2140" i="2"/>
  <c r="D2144" i="2"/>
  <c r="D2148" i="2"/>
  <c r="D2152" i="2"/>
  <c r="D2156" i="2"/>
  <c r="D2160" i="2"/>
  <c r="D2164" i="2"/>
  <c r="D2168" i="2"/>
  <c r="D2172" i="2"/>
  <c r="D2176" i="2"/>
  <c r="D2180" i="2"/>
  <c r="D2184" i="2"/>
  <c r="D2188" i="2"/>
  <c r="D2192" i="2"/>
  <c r="D2196" i="2"/>
  <c r="D2200" i="2"/>
  <c r="D2204" i="2"/>
  <c r="D2208" i="2"/>
  <c r="D2212" i="2"/>
  <c r="D2216" i="2"/>
  <c r="D2220" i="2"/>
  <c r="D2224" i="2"/>
  <c r="D2228" i="2"/>
  <c r="D2232" i="2"/>
  <c r="D2236" i="2"/>
  <c r="D2240" i="2"/>
  <c r="D2244" i="2"/>
  <c r="D2248" i="2"/>
  <c r="D2252" i="2"/>
  <c r="D2256" i="2"/>
  <c r="D2260" i="2"/>
  <c r="D2264" i="2"/>
  <c r="D2268" i="2"/>
  <c r="D2272" i="2"/>
  <c r="D2276" i="2"/>
  <c r="D2280" i="2"/>
  <c r="D2284" i="2"/>
  <c r="D2288" i="2"/>
  <c r="D2292" i="2"/>
  <c r="D2296" i="2"/>
  <c r="D2300" i="2"/>
  <c r="D2304" i="2"/>
  <c r="D2308" i="2"/>
  <c r="D2312" i="2"/>
  <c r="D2316" i="2"/>
  <c r="D2089" i="2"/>
  <c r="D2093" i="2"/>
  <c r="D2097" i="2"/>
  <c r="D2101" i="2"/>
  <c r="D2105" i="2"/>
  <c r="D2109" i="2"/>
  <c r="D2113" i="2"/>
  <c r="D2117" i="2"/>
  <c r="D2121" i="2"/>
  <c r="D2125" i="2"/>
  <c r="D2129" i="2"/>
  <c r="D2133" i="2"/>
  <c r="D2137" i="2"/>
  <c r="D2141" i="2"/>
  <c r="D2145" i="2"/>
  <c r="D2149" i="2"/>
  <c r="D2153" i="2"/>
  <c r="D2157" i="2"/>
  <c r="D2161" i="2"/>
  <c r="D2165" i="2"/>
  <c r="D2169" i="2"/>
  <c r="D2173" i="2"/>
  <c r="D2177" i="2"/>
  <c r="D2181" i="2"/>
  <c r="D2185" i="2"/>
  <c r="D2189" i="2"/>
  <c r="D2193" i="2"/>
  <c r="D2197" i="2"/>
  <c r="D2201" i="2"/>
  <c r="D2205" i="2"/>
  <c r="D2209" i="2"/>
  <c r="D2213" i="2"/>
  <c r="D2217" i="2"/>
  <c r="D2221" i="2"/>
  <c r="D2225" i="2"/>
  <c r="D2229" i="2"/>
  <c r="D2233" i="2"/>
  <c r="D2237" i="2"/>
  <c r="D2241" i="2"/>
  <c r="D2245" i="2"/>
  <c r="D2249" i="2"/>
  <c r="D2253" i="2"/>
  <c r="D2257" i="2"/>
  <c r="D2261" i="2"/>
  <c r="D2265" i="2"/>
  <c r="D2269" i="2"/>
  <c r="D2273" i="2"/>
  <c r="D2277" i="2"/>
  <c r="D2281" i="2"/>
  <c r="D2285" i="2"/>
  <c r="D2289" i="2"/>
  <c r="D2293" i="2"/>
  <c r="D2297" i="2"/>
  <c r="D2301" i="2"/>
  <c r="D2305" i="2"/>
  <c r="D2309" i="2"/>
  <c r="D2313" i="2"/>
  <c r="D2317" i="2"/>
  <c r="D2090" i="2"/>
  <c r="D2094" i="2"/>
  <c r="D2098" i="2"/>
  <c r="D2102" i="2"/>
  <c r="D2106" i="2"/>
  <c r="D2110" i="2"/>
  <c r="D2114" i="2"/>
  <c r="D2118" i="2"/>
  <c r="D2122" i="2"/>
  <c r="D2126" i="2"/>
  <c r="D2130" i="2"/>
  <c r="D2134" i="2"/>
  <c r="D2138" i="2"/>
  <c r="D2142" i="2"/>
  <c r="D2146" i="2"/>
  <c r="D2150" i="2"/>
  <c r="D2154" i="2"/>
  <c r="D2158" i="2"/>
  <c r="D2162" i="2"/>
  <c r="D2170" i="2"/>
  <c r="D2174" i="2"/>
  <c r="D2182" i="2"/>
  <c r="D2190" i="2"/>
  <c r="D2194" i="2"/>
  <c r="D2202" i="2"/>
  <c r="D2206" i="2"/>
  <c r="D2214" i="2"/>
  <c r="D2166" i="2"/>
  <c r="D2178" i="2"/>
  <c r="D2186" i="2"/>
  <c r="D2198" i="2"/>
  <c r="D2210" i="2"/>
  <c r="D2218" i="2"/>
  <c r="D2234" i="2"/>
  <c r="D2250" i="2"/>
  <c r="D2266" i="2"/>
  <c r="D2282" i="2"/>
  <c r="D2298" i="2"/>
  <c r="D2314" i="2"/>
  <c r="D2222" i="2"/>
  <c r="D2238" i="2"/>
  <c r="D2254" i="2"/>
  <c r="D2270" i="2"/>
  <c r="D2286" i="2"/>
  <c r="D2302" i="2"/>
  <c r="D2318" i="2"/>
  <c r="D2226" i="2"/>
  <c r="D2242" i="2"/>
  <c r="D2258" i="2"/>
  <c r="D2274" i="2"/>
  <c r="D2290" i="2"/>
  <c r="D2306" i="2"/>
  <c r="D2230" i="2"/>
  <c r="D2246" i="2"/>
  <c r="D2262" i="2"/>
  <c r="D2278" i="2"/>
  <c r="D2294" i="2"/>
  <c r="D2310" i="2"/>
  <c r="N2033" i="2"/>
  <c r="D2033" i="2"/>
  <c r="D2037" i="2"/>
  <c r="D2041" i="2"/>
  <c r="D2045" i="2"/>
  <c r="D2049" i="2"/>
  <c r="D2053" i="2"/>
  <c r="D2057" i="2"/>
  <c r="D2061" i="2"/>
  <c r="D2065" i="2"/>
  <c r="D2069" i="2"/>
  <c r="D2073" i="2"/>
  <c r="D2075" i="2"/>
  <c r="D2034" i="2"/>
  <c r="D2038" i="2"/>
  <c r="D2042" i="2"/>
  <c r="D2046" i="2"/>
  <c r="D2050" i="2"/>
  <c r="D2054" i="2"/>
  <c r="D2058" i="2"/>
  <c r="D2062" i="2"/>
  <c r="D2066" i="2"/>
  <c r="D2070" i="2"/>
  <c r="D2074" i="2"/>
  <c r="D2035" i="2"/>
  <c r="D2039" i="2"/>
  <c r="D2043" i="2"/>
  <c r="D2047" i="2"/>
  <c r="D2051" i="2"/>
  <c r="D2055" i="2"/>
  <c r="D2059" i="2"/>
  <c r="D2063" i="2"/>
  <c r="D2067" i="2"/>
  <c r="D2071" i="2"/>
  <c r="D2036" i="2"/>
  <c r="D2040" i="2"/>
  <c r="D2044" i="2"/>
  <c r="D2048" i="2"/>
  <c r="D2052" i="2"/>
  <c r="D2056" i="2"/>
  <c r="D2060" i="2"/>
  <c r="D2064" i="2"/>
  <c r="D2068" i="2"/>
  <c r="D2072" i="2"/>
  <c r="N1997" i="2"/>
  <c r="D1997" i="2"/>
  <c r="D2001" i="2"/>
  <c r="D2005" i="2"/>
  <c r="D2009" i="2"/>
  <c r="D2013" i="2"/>
  <c r="D1998" i="2"/>
  <c r="D2002" i="2"/>
  <c r="D2006" i="2"/>
  <c r="D2010" i="2"/>
  <c r="D2014" i="2"/>
  <c r="D1999" i="2"/>
  <c r="D2003" i="2"/>
  <c r="D2007" i="2"/>
  <c r="D2011" i="2"/>
  <c r="D2015" i="2"/>
  <c r="D2000" i="2"/>
  <c r="D2004" i="2"/>
  <c r="D2008" i="2"/>
  <c r="D2012" i="2"/>
  <c r="D2016" i="2"/>
  <c r="N1841" i="2"/>
  <c r="D1841" i="2"/>
  <c r="D1845" i="2"/>
  <c r="D1849" i="2"/>
  <c r="D1853" i="2"/>
  <c r="D1857" i="2"/>
  <c r="D1861" i="2"/>
  <c r="D1865" i="2"/>
  <c r="D1869" i="2"/>
  <c r="D1873" i="2"/>
  <c r="D1877" i="2"/>
  <c r="D1881" i="2"/>
  <c r="D1885" i="2"/>
  <c r="D1889" i="2"/>
  <c r="D1893" i="2"/>
  <c r="D1897" i="2"/>
  <c r="D1901" i="2"/>
  <c r="D1842" i="2"/>
  <c r="D1846" i="2"/>
  <c r="D1850" i="2"/>
  <c r="D1854" i="2"/>
  <c r="D1858" i="2"/>
  <c r="D1862" i="2"/>
  <c r="D1866" i="2"/>
  <c r="D1870" i="2"/>
  <c r="D1874" i="2"/>
  <c r="D1878" i="2"/>
  <c r="D1882" i="2"/>
  <c r="D1886" i="2"/>
  <c r="D1890" i="2"/>
  <c r="D1894" i="2"/>
  <c r="D1898" i="2"/>
  <c r="D1843" i="2"/>
  <c r="D1847" i="2"/>
  <c r="D1851" i="2"/>
  <c r="D1855" i="2"/>
  <c r="D1859" i="2"/>
  <c r="D1863" i="2"/>
  <c r="D1867" i="2"/>
  <c r="D1871" i="2"/>
  <c r="D1875" i="2"/>
  <c r="D1879" i="2"/>
  <c r="D1883" i="2"/>
  <c r="D1887" i="2"/>
  <c r="D1891" i="2"/>
  <c r="D1895" i="2"/>
  <c r="D1899" i="2"/>
  <c r="D1844" i="2"/>
  <c r="D1848" i="2"/>
  <c r="D1852" i="2"/>
  <c r="D1856" i="2"/>
  <c r="D1860" i="2"/>
  <c r="D1864" i="2"/>
  <c r="D1868" i="2"/>
  <c r="D1872" i="2"/>
  <c r="D1876" i="2"/>
  <c r="D1880" i="2"/>
  <c r="D1884" i="2"/>
  <c r="D1888" i="2"/>
  <c r="D1892" i="2"/>
  <c r="D1896" i="2"/>
  <c r="D1900" i="2"/>
  <c r="N1566" i="2"/>
  <c r="D1566" i="2"/>
  <c r="D1570" i="2"/>
  <c r="D1574" i="2"/>
  <c r="D1567" i="2"/>
  <c r="D1571" i="2"/>
  <c r="D1568" i="2"/>
  <c r="D1572" i="2"/>
  <c r="D1569" i="2"/>
  <c r="D1573" i="2"/>
  <c r="N1834" i="2"/>
  <c r="D1834" i="2"/>
  <c r="D1838" i="2"/>
  <c r="D1835" i="2"/>
  <c r="D1839" i="2"/>
  <c r="D1836" i="2"/>
  <c r="D1840" i="2"/>
  <c r="D1837" i="2"/>
  <c r="N1827" i="2"/>
  <c r="D1827" i="2"/>
  <c r="D1831" i="2"/>
  <c r="D1832" i="2"/>
  <c r="D1829" i="2"/>
  <c r="D1833" i="2"/>
  <c r="D1830" i="2"/>
  <c r="D1828" i="2"/>
  <c r="N1625" i="2"/>
  <c r="D1625" i="2"/>
  <c r="D1629" i="2"/>
  <c r="D1633" i="2"/>
  <c r="D1637" i="2"/>
  <c r="D1641" i="2"/>
  <c r="D1645" i="2"/>
  <c r="D1649" i="2"/>
  <c r="D1653" i="2"/>
  <c r="D1657" i="2"/>
  <c r="D1661" i="2"/>
  <c r="D1665" i="2"/>
  <c r="D1669" i="2"/>
  <c r="D1626" i="2"/>
  <c r="D1630" i="2"/>
  <c r="D1634" i="2"/>
  <c r="D1638" i="2"/>
  <c r="D1642" i="2"/>
  <c r="D1646" i="2"/>
  <c r="D1650" i="2"/>
  <c r="D1654" i="2"/>
  <c r="D1658" i="2"/>
  <c r="D1662" i="2"/>
  <c r="D1666" i="2"/>
  <c r="D1670" i="2"/>
  <c r="D1627" i="2"/>
  <c r="D1631" i="2"/>
  <c r="D1635" i="2"/>
  <c r="D1639" i="2"/>
  <c r="D1643" i="2"/>
  <c r="D1647" i="2"/>
  <c r="D1651" i="2"/>
  <c r="D1655" i="2"/>
  <c r="D1659" i="2"/>
  <c r="D1663" i="2"/>
  <c r="D1667" i="2"/>
  <c r="D1628" i="2"/>
  <c r="D1632" i="2"/>
  <c r="D1636" i="2"/>
  <c r="D1640" i="2"/>
  <c r="D1644" i="2"/>
  <c r="D1648" i="2"/>
  <c r="D1652" i="2"/>
  <c r="D1656" i="2"/>
  <c r="D1660" i="2"/>
  <c r="D1664" i="2"/>
  <c r="D1668" i="2"/>
  <c r="N1622" i="2"/>
  <c r="D1622" i="2"/>
  <c r="D1624" i="2"/>
  <c r="N1596" i="2"/>
  <c r="D1596" i="2"/>
  <c r="D1600" i="2"/>
  <c r="D1604" i="2"/>
  <c r="D1608" i="2"/>
  <c r="D1612" i="2"/>
  <c r="D1597" i="2"/>
  <c r="D1601" i="2"/>
  <c r="D1605" i="2"/>
  <c r="D1609" i="2"/>
  <c r="D1613" i="2"/>
  <c r="D1598" i="2"/>
  <c r="D1602" i="2"/>
  <c r="D1606" i="2"/>
  <c r="D1610" i="2"/>
  <c r="D1599" i="2"/>
  <c r="D1603" i="2"/>
  <c r="D1607" i="2"/>
  <c r="D1611" i="2"/>
  <c r="N1316" i="2"/>
  <c r="D1316" i="2"/>
  <c r="D1320" i="2"/>
  <c r="D1324" i="2"/>
  <c r="D1328" i="2"/>
  <c r="D1332" i="2"/>
  <c r="D1317" i="2"/>
  <c r="D1321" i="2"/>
  <c r="D1325" i="2"/>
  <c r="D1329" i="2"/>
  <c r="D1333" i="2"/>
  <c r="D1318" i="2"/>
  <c r="D1322" i="2"/>
  <c r="D1326" i="2"/>
  <c r="D1330" i="2"/>
  <c r="D1334" i="2"/>
  <c r="D1319" i="2"/>
  <c r="D1323" i="2"/>
  <c r="D1327" i="2"/>
  <c r="D1331" i="2"/>
  <c r="D1335" i="2"/>
  <c r="N1268" i="2"/>
  <c r="D1268" i="2"/>
  <c r="D1272" i="2"/>
  <c r="D1276" i="2"/>
  <c r="D1280" i="2"/>
  <c r="D1269" i="2"/>
  <c r="D1273" i="2"/>
  <c r="D1277" i="2"/>
  <c r="D1281" i="2"/>
  <c r="D1270" i="2"/>
  <c r="D1274" i="2"/>
  <c r="D1278" i="2"/>
  <c r="D1282" i="2"/>
  <c r="D1271" i="2"/>
  <c r="D1275" i="2"/>
  <c r="D1279" i="2"/>
  <c r="N1259" i="2"/>
  <c r="D1259" i="2"/>
  <c r="D1263" i="2"/>
  <c r="D1267" i="2"/>
  <c r="D1260" i="2"/>
  <c r="D1264" i="2"/>
  <c r="D1261" i="2"/>
  <c r="D1265" i="2"/>
  <c r="D1262" i="2"/>
  <c r="D1266" i="2"/>
  <c r="N1253" i="2"/>
  <c r="D1253" i="2"/>
  <c r="D1257" i="2"/>
  <c r="D1254" i="2"/>
  <c r="D1258" i="2"/>
  <c r="D1255" i="2"/>
  <c r="D1256" i="2"/>
  <c r="N1248" i="2"/>
  <c r="D1250" i="2"/>
  <c r="D1251" i="2"/>
  <c r="D1252" i="2"/>
  <c r="N989" i="2"/>
  <c r="D989" i="2"/>
  <c r="D990" i="2"/>
  <c r="D991" i="2"/>
  <c r="D992" i="2"/>
  <c r="N1224" i="2"/>
  <c r="D1224" i="2"/>
  <c r="D1228" i="2"/>
  <c r="D1232" i="2"/>
  <c r="D1236" i="2"/>
  <c r="D1240" i="2"/>
  <c r="D1244" i="2"/>
  <c r="D1248" i="2"/>
  <c r="D1225" i="2"/>
  <c r="D1229" i="2"/>
  <c r="D1233" i="2"/>
  <c r="D1237" i="2"/>
  <c r="D1241" i="2"/>
  <c r="D1245" i="2"/>
  <c r="D1249" i="2"/>
  <c r="D1226" i="2"/>
  <c r="D1230" i="2"/>
  <c r="D1234" i="2"/>
  <c r="D1238" i="2"/>
  <c r="D1242" i="2"/>
  <c r="D1246" i="2"/>
  <c r="D1227" i="2"/>
  <c r="D1231" i="2"/>
  <c r="D1235" i="2"/>
  <c r="D1239" i="2"/>
  <c r="D1243" i="2"/>
  <c r="D1247" i="2"/>
  <c r="N1222" i="2"/>
  <c r="D1222" i="2"/>
  <c r="D1223" i="2"/>
  <c r="N1211" i="2"/>
  <c r="D1211" i="2"/>
  <c r="D1215" i="2"/>
  <c r="D1219" i="2"/>
  <c r="D1212" i="2"/>
  <c r="D1216" i="2"/>
  <c r="D1220" i="2"/>
  <c r="D1213" i="2"/>
  <c r="D1217" i="2"/>
  <c r="D1221" i="2"/>
  <c r="D1214" i="2"/>
  <c r="D1218" i="2"/>
  <c r="N547" i="2"/>
  <c r="D547" i="2"/>
  <c r="D551" i="2"/>
  <c r="D555" i="2"/>
  <c r="D559" i="2"/>
  <c r="D563" i="2"/>
  <c r="D567" i="2"/>
  <c r="D571" i="2"/>
  <c r="D575" i="2"/>
  <c r="D579" i="2"/>
  <c r="D583" i="2"/>
  <c r="D587" i="2"/>
  <c r="D591" i="2"/>
  <c r="D595" i="2"/>
  <c r="D599" i="2"/>
  <c r="D603" i="2"/>
  <c r="D548" i="2"/>
  <c r="D552" i="2"/>
  <c r="D556" i="2"/>
  <c r="D560" i="2"/>
  <c r="D564" i="2"/>
  <c r="D568" i="2"/>
  <c r="D572" i="2"/>
  <c r="D576" i="2"/>
  <c r="D580" i="2"/>
  <c r="D584" i="2"/>
  <c r="D588" i="2"/>
  <c r="D592" i="2"/>
  <c r="D596" i="2"/>
  <c r="D600" i="2"/>
  <c r="D604" i="2"/>
  <c r="D549" i="2"/>
  <c r="D553" i="2"/>
  <c r="D557" i="2"/>
  <c r="D561" i="2"/>
  <c r="D565" i="2"/>
  <c r="D569" i="2"/>
  <c r="D573" i="2"/>
  <c r="D577" i="2"/>
  <c r="D581" i="2"/>
  <c r="D585" i="2"/>
  <c r="D589" i="2"/>
  <c r="D593" i="2"/>
  <c r="D597" i="2"/>
  <c r="D601" i="2"/>
  <c r="D605" i="2"/>
  <c r="D550" i="2"/>
  <c r="D554" i="2"/>
  <c r="D558" i="2"/>
  <c r="D562" i="2"/>
  <c r="D566" i="2"/>
  <c r="D570" i="2"/>
  <c r="D574" i="2"/>
  <c r="D578" i="2"/>
  <c r="D582" i="2"/>
  <c r="D586" i="2"/>
  <c r="D590" i="2"/>
  <c r="D594" i="2"/>
  <c r="D598" i="2"/>
  <c r="D602" i="2"/>
  <c r="N500" i="2"/>
  <c r="D500" i="2"/>
  <c r="D504" i="2"/>
  <c r="D508" i="2"/>
  <c r="D512" i="2"/>
  <c r="D516" i="2"/>
  <c r="D520" i="2"/>
  <c r="D524" i="2"/>
  <c r="D528" i="2"/>
  <c r="D532" i="2"/>
  <c r="D536" i="2"/>
  <c r="D540" i="2"/>
  <c r="D544" i="2"/>
  <c r="D501" i="2"/>
  <c r="D505" i="2"/>
  <c r="D509" i="2"/>
  <c r="D513" i="2"/>
  <c r="D517" i="2"/>
  <c r="D521" i="2"/>
  <c r="D525" i="2"/>
  <c r="D529" i="2"/>
  <c r="D533" i="2"/>
  <c r="D537" i="2"/>
  <c r="D541" i="2"/>
  <c r="D545" i="2"/>
  <c r="D502" i="2"/>
  <c r="D506" i="2"/>
  <c r="D510" i="2"/>
  <c r="D514" i="2"/>
  <c r="D518" i="2"/>
  <c r="D522" i="2"/>
  <c r="D526" i="2"/>
  <c r="D530" i="2"/>
  <c r="D534" i="2"/>
  <c r="D538" i="2"/>
  <c r="D542" i="2"/>
  <c r="D546" i="2"/>
  <c r="D503" i="2"/>
  <c r="D507" i="2"/>
  <c r="D511" i="2"/>
  <c r="D515" i="2"/>
  <c r="D519" i="2"/>
  <c r="D523" i="2"/>
  <c r="D527" i="2"/>
  <c r="D531" i="2"/>
  <c r="D535" i="2"/>
  <c r="D539" i="2"/>
  <c r="D543" i="2"/>
  <c r="N478" i="2"/>
  <c r="D478" i="2"/>
  <c r="D482" i="2"/>
  <c r="D486" i="2"/>
  <c r="D490" i="2"/>
  <c r="D494" i="2"/>
  <c r="D498" i="2"/>
  <c r="D479" i="2"/>
  <c r="D483" i="2"/>
  <c r="D487" i="2"/>
  <c r="D491" i="2"/>
  <c r="D495" i="2"/>
  <c r="D499" i="2"/>
  <c r="D480" i="2"/>
  <c r="D484" i="2"/>
  <c r="D488" i="2"/>
  <c r="D492" i="2"/>
  <c r="D496" i="2"/>
  <c r="D481" i="2"/>
  <c r="D485" i="2"/>
  <c r="D489" i="2"/>
  <c r="D493" i="2"/>
  <c r="D497" i="2"/>
  <c r="N457" i="2"/>
  <c r="D466" i="2"/>
  <c r="D470" i="2"/>
  <c r="D474" i="2"/>
  <c r="D467" i="2"/>
  <c r="D471" i="2"/>
  <c r="D475" i="2"/>
  <c r="D468" i="2"/>
  <c r="D472" i="2"/>
  <c r="D476" i="2"/>
  <c r="D469" i="2"/>
  <c r="D473" i="2"/>
  <c r="D477" i="2"/>
  <c r="N101" i="2"/>
  <c r="D105" i="2"/>
  <c r="D109" i="2"/>
  <c r="D113" i="2"/>
  <c r="D117" i="2"/>
  <c r="D121" i="2"/>
  <c r="D125" i="2"/>
  <c r="D129" i="2"/>
  <c r="D133" i="2"/>
  <c r="D137" i="2"/>
  <c r="D141" i="2"/>
  <c r="D145" i="2"/>
  <c r="D149" i="2"/>
  <c r="D153" i="2"/>
  <c r="D157" i="2"/>
  <c r="D161" i="2"/>
  <c r="D165" i="2"/>
  <c r="D169" i="2"/>
  <c r="D173" i="2"/>
  <c r="D177" i="2"/>
  <c r="D181" i="2"/>
  <c r="D185" i="2"/>
  <c r="D189" i="2"/>
  <c r="D193" i="2"/>
  <c r="D453" i="2"/>
  <c r="D457" i="2"/>
  <c r="D461" i="2"/>
  <c r="D465" i="2"/>
  <c r="D106" i="2"/>
  <c r="D110" i="2"/>
  <c r="D114" i="2"/>
  <c r="D118" i="2"/>
  <c r="D122" i="2"/>
  <c r="D126" i="2"/>
  <c r="D130" i="2"/>
  <c r="D134" i="2"/>
  <c r="D138" i="2"/>
  <c r="D142" i="2"/>
  <c r="D146" i="2"/>
  <c r="D150" i="2"/>
  <c r="D154" i="2"/>
  <c r="D158" i="2"/>
  <c r="D162" i="2"/>
  <c r="D166" i="2"/>
  <c r="D170" i="2"/>
  <c r="D174" i="2"/>
  <c r="D178" i="2"/>
  <c r="D182" i="2"/>
  <c r="D186" i="2"/>
  <c r="D190" i="2"/>
  <c r="D450" i="2"/>
  <c r="D454" i="2"/>
  <c r="D458" i="2"/>
  <c r="D462" i="2"/>
  <c r="D107" i="2"/>
  <c r="D111" i="2"/>
  <c r="D115" i="2"/>
  <c r="D119" i="2"/>
  <c r="D123" i="2"/>
  <c r="D127" i="2"/>
  <c r="D131" i="2"/>
  <c r="D135" i="2"/>
  <c r="D139" i="2"/>
  <c r="D143" i="2"/>
  <c r="D147" i="2"/>
  <c r="D151" i="2"/>
  <c r="D155" i="2"/>
  <c r="D159" i="2"/>
  <c r="D163" i="2"/>
  <c r="D167" i="2"/>
  <c r="D171" i="2"/>
  <c r="D175" i="2"/>
  <c r="D179" i="2"/>
  <c r="D183" i="2"/>
  <c r="D187" i="2"/>
  <c r="D191" i="2"/>
  <c r="D451" i="2"/>
  <c r="D455" i="2"/>
  <c r="D459" i="2"/>
  <c r="D463" i="2"/>
  <c r="D108" i="2"/>
  <c r="D112" i="2"/>
  <c r="D116" i="2"/>
  <c r="D120" i="2"/>
  <c r="D124" i="2"/>
  <c r="D128" i="2"/>
  <c r="D132" i="2"/>
  <c r="D136" i="2"/>
  <c r="D140" i="2"/>
  <c r="D144" i="2"/>
  <c r="D148" i="2"/>
  <c r="D152" i="2"/>
  <c r="D156" i="2"/>
  <c r="D160" i="2"/>
  <c r="D164" i="2"/>
  <c r="D168" i="2"/>
  <c r="D172" i="2"/>
  <c r="D176" i="2"/>
  <c r="D180" i="2"/>
  <c r="D184" i="2"/>
  <c r="D188" i="2"/>
  <c r="D192" i="2"/>
  <c r="D452" i="2"/>
  <c r="D456" i="2"/>
  <c r="D460" i="2"/>
  <c r="D464" i="2"/>
  <c r="N92" i="2"/>
  <c r="D92" i="2"/>
  <c r="D96" i="2"/>
  <c r="D100" i="2"/>
  <c r="D104" i="2"/>
  <c r="D93" i="2"/>
  <c r="D97" i="2"/>
  <c r="D101" i="2"/>
  <c r="D94" i="2"/>
  <c r="D98" i="2"/>
  <c r="D102" i="2"/>
  <c r="D95" i="2"/>
  <c r="D99" i="2"/>
  <c r="D103" i="2"/>
  <c r="N71" i="2"/>
  <c r="D71" i="2"/>
  <c r="D75" i="2"/>
  <c r="D79" i="2"/>
  <c r="D83" i="2"/>
  <c r="D87" i="2"/>
  <c r="D91" i="2"/>
  <c r="D72" i="2"/>
  <c r="D76" i="2"/>
  <c r="D80" i="2"/>
  <c r="D84" i="2"/>
  <c r="D88" i="2"/>
  <c r="D73" i="2"/>
  <c r="D77" i="2"/>
  <c r="D81" i="2"/>
  <c r="D85" i="2"/>
  <c r="D89" i="2"/>
  <c r="D74" i="2"/>
  <c r="D78" i="2"/>
  <c r="D82" i="2"/>
  <c r="D86" i="2"/>
  <c r="D90" i="2"/>
  <c r="N65" i="2"/>
  <c r="D65" i="2"/>
  <c r="D69" i="2"/>
  <c r="D66" i="2"/>
  <c r="D70" i="2"/>
  <c r="D67" i="2"/>
  <c r="D68" i="2"/>
  <c r="N3418" i="2"/>
  <c r="D3420" i="2"/>
  <c r="D3424" i="2"/>
  <c r="D3421" i="2"/>
  <c r="D3425" i="2"/>
  <c r="D3422" i="2"/>
  <c r="D3426" i="2"/>
  <c r="D3423" i="2"/>
  <c r="N3327" i="2"/>
  <c r="D3327" i="2"/>
  <c r="D3331" i="2"/>
  <c r="D3328" i="2"/>
  <c r="D3334" i="2"/>
  <c r="D3329" i="2"/>
  <c r="D3418" i="2"/>
  <c r="D3330" i="2"/>
  <c r="D3419" i="2"/>
  <c r="N1671" i="2"/>
  <c r="D1671" i="2"/>
  <c r="D1675" i="2"/>
  <c r="D1679" i="2"/>
  <c r="D1683" i="2"/>
  <c r="D1687" i="2"/>
  <c r="D1691" i="2"/>
  <c r="D1695" i="2"/>
  <c r="D1699" i="2"/>
  <c r="D1703" i="2"/>
  <c r="D1707" i="2"/>
  <c r="D1711" i="2"/>
  <c r="D1715" i="2"/>
  <c r="D1719" i="2"/>
  <c r="D1723" i="2"/>
  <c r="D1727" i="2"/>
  <c r="D1731" i="2"/>
  <c r="D1735" i="2"/>
  <c r="D1739" i="2"/>
  <c r="D1743" i="2"/>
  <c r="D1747" i="2"/>
  <c r="D1751" i="2"/>
  <c r="D1755" i="2"/>
  <c r="D1759" i="2"/>
  <c r="D1763" i="2"/>
  <c r="D1672" i="2"/>
  <c r="D1676" i="2"/>
  <c r="D1680" i="2"/>
  <c r="D1684" i="2"/>
  <c r="D1688" i="2"/>
  <c r="D1692" i="2"/>
  <c r="D1696" i="2"/>
  <c r="D1700" i="2"/>
  <c r="D1704" i="2"/>
  <c r="D1708" i="2"/>
  <c r="D1712" i="2"/>
  <c r="D1716" i="2"/>
  <c r="D1720" i="2"/>
  <c r="D1724" i="2"/>
  <c r="D1728" i="2"/>
  <c r="D1732" i="2"/>
  <c r="D1736" i="2"/>
  <c r="D1740" i="2"/>
  <c r="D1744" i="2"/>
  <c r="D1748" i="2"/>
  <c r="D1752" i="2"/>
  <c r="D1756" i="2"/>
  <c r="D1760" i="2"/>
  <c r="D1673" i="2"/>
  <c r="D1677" i="2"/>
  <c r="D1681" i="2"/>
  <c r="D1685" i="2"/>
  <c r="D1689" i="2"/>
  <c r="D1693" i="2"/>
  <c r="D1697" i="2"/>
  <c r="D1701" i="2"/>
  <c r="D1705" i="2"/>
  <c r="D1709" i="2"/>
  <c r="D1713" i="2"/>
  <c r="D1717" i="2"/>
  <c r="D1721" i="2"/>
  <c r="D1725" i="2"/>
  <c r="D1729" i="2"/>
  <c r="D1733" i="2"/>
  <c r="D1737" i="2"/>
  <c r="D1741" i="2"/>
  <c r="D1745" i="2"/>
  <c r="D1749" i="2"/>
  <c r="D1753" i="2"/>
  <c r="D1757" i="2"/>
  <c r="D1761" i="2"/>
  <c r="D1674" i="2"/>
  <c r="D1678" i="2"/>
  <c r="D1682" i="2"/>
  <c r="D1686" i="2"/>
  <c r="D1690" i="2"/>
  <c r="D1694" i="2"/>
  <c r="D1698" i="2"/>
  <c r="D1702" i="2"/>
  <c r="D1706" i="2"/>
  <c r="D1710" i="2"/>
  <c r="D1714" i="2"/>
  <c r="D1718" i="2"/>
  <c r="D1722" i="2"/>
  <c r="D1726" i="2"/>
  <c r="D1730" i="2"/>
  <c r="D1734" i="2"/>
  <c r="D1738" i="2"/>
  <c r="D1742" i="2"/>
  <c r="D1746" i="2"/>
  <c r="D1750" i="2"/>
  <c r="D1754" i="2"/>
  <c r="D1758" i="2"/>
  <c r="D1762" i="2"/>
  <c r="N1283" i="2"/>
  <c r="D1283" i="2"/>
  <c r="D1287" i="2"/>
  <c r="D1291" i="2"/>
  <c r="D1295" i="2"/>
  <c r="D1299" i="2"/>
  <c r="D1303" i="2"/>
  <c r="D1307" i="2"/>
  <c r="D1311" i="2"/>
  <c r="D1315" i="2"/>
  <c r="D1284" i="2"/>
  <c r="D1288" i="2"/>
  <c r="D1292" i="2"/>
  <c r="D1296" i="2"/>
  <c r="D1300" i="2"/>
  <c r="D1304" i="2"/>
  <c r="D1308" i="2"/>
  <c r="D1312" i="2"/>
  <c r="D1285" i="2"/>
  <c r="D1289" i="2"/>
  <c r="D1293" i="2"/>
  <c r="D1297" i="2"/>
  <c r="D1301" i="2"/>
  <c r="D1305" i="2"/>
  <c r="D1309" i="2"/>
  <c r="D1313" i="2"/>
  <c r="D1286" i="2"/>
  <c r="D1290" i="2"/>
  <c r="D1294" i="2"/>
  <c r="D1298" i="2"/>
  <c r="D1302" i="2"/>
  <c r="D1306" i="2"/>
  <c r="D1310" i="2"/>
  <c r="D1314" i="2"/>
  <c r="N3042" i="2"/>
  <c r="D3042" i="2"/>
  <c r="D3046" i="2"/>
  <c r="D3050" i="2"/>
  <c r="D3054" i="2"/>
  <c r="D3058" i="2"/>
  <c r="D3062" i="2"/>
  <c r="D3066" i="2"/>
  <c r="D3070" i="2"/>
  <c r="D3074" i="2"/>
  <c r="D3078" i="2"/>
  <c r="D3043" i="2"/>
  <c r="D3047" i="2"/>
  <c r="D3051" i="2"/>
  <c r="D3055" i="2"/>
  <c r="D3059" i="2"/>
  <c r="D3063" i="2"/>
  <c r="D3067" i="2"/>
  <c r="D3071" i="2"/>
  <c r="D3075" i="2"/>
  <c r="D3079" i="2"/>
  <c r="D3044" i="2"/>
  <c r="D3048" i="2"/>
  <c r="D3052" i="2"/>
  <c r="D3056" i="2"/>
  <c r="D3060" i="2"/>
  <c r="D3064" i="2"/>
  <c r="D3068" i="2"/>
  <c r="D3072" i="2"/>
  <c r="D3076" i="2"/>
  <c r="D3080" i="2"/>
  <c r="D3045" i="2"/>
  <c r="D3049" i="2"/>
  <c r="D3053" i="2"/>
  <c r="D3057" i="2"/>
  <c r="D3061" i="2"/>
  <c r="D3065" i="2"/>
  <c r="D3069" i="2"/>
  <c r="D3073" i="2"/>
  <c r="D3077" i="2"/>
  <c r="D3081" i="2"/>
  <c r="N2076" i="2"/>
  <c r="D2076" i="2"/>
  <c r="D2080" i="2"/>
  <c r="D2084" i="2"/>
  <c r="D2077" i="2"/>
  <c r="D2081" i="2"/>
  <c r="D2085" i="2"/>
  <c r="D2078" i="2"/>
  <c r="D2082" i="2"/>
  <c r="D2086" i="2"/>
  <c r="D2079" i="2"/>
  <c r="D2083" i="2"/>
  <c r="N3335" i="2"/>
  <c r="D3336" i="2"/>
  <c r="D3340" i="2"/>
  <c r="D3344" i="2"/>
  <c r="D3348" i="2"/>
  <c r="D3352" i="2"/>
  <c r="D3356" i="2"/>
  <c r="D3360" i="2"/>
  <c r="D3364" i="2"/>
  <c r="D3368" i="2"/>
  <c r="D3372" i="2"/>
  <c r="D3376" i="2"/>
  <c r="D3380" i="2"/>
  <c r="D3384" i="2"/>
  <c r="D3388" i="2"/>
  <c r="D3392" i="2"/>
  <c r="D3396" i="2"/>
  <c r="D3400" i="2"/>
  <c r="D3404" i="2"/>
  <c r="D3408" i="2"/>
  <c r="D3412" i="2"/>
  <c r="D3416" i="2"/>
  <c r="D3337" i="2"/>
  <c r="D3341" i="2"/>
  <c r="D3345" i="2"/>
  <c r="D3349" i="2"/>
  <c r="D3353" i="2"/>
  <c r="D3357" i="2"/>
  <c r="D3361" i="2"/>
  <c r="D3365" i="2"/>
  <c r="D3369" i="2"/>
  <c r="D3373" i="2"/>
  <c r="D3377" i="2"/>
  <c r="D3381" i="2"/>
  <c r="D3385" i="2"/>
  <c r="D3389" i="2"/>
  <c r="D3393" i="2"/>
  <c r="D3397" i="2"/>
  <c r="D3401" i="2"/>
  <c r="D3405" i="2"/>
  <c r="D3409" i="2"/>
  <c r="D3413" i="2"/>
  <c r="D3417" i="2"/>
  <c r="D3338" i="2"/>
  <c r="D3342" i="2"/>
  <c r="D3346" i="2"/>
  <c r="D3350" i="2"/>
  <c r="D3354" i="2"/>
  <c r="D3358" i="2"/>
  <c r="D3362" i="2"/>
  <c r="D3366" i="2"/>
  <c r="D3370" i="2"/>
  <c r="D3374" i="2"/>
  <c r="D3378" i="2"/>
  <c r="D3382" i="2"/>
  <c r="D3386" i="2"/>
  <c r="D3390" i="2"/>
  <c r="D3394" i="2"/>
  <c r="D3398" i="2"/>
  <c r="D3402" i="2"/>
  <c r="D3406" i="2"/>
  <c r="D3410" i="2"/>
  <c r="D3414" i="2"/>
  <c r="D3339" i="2"/>
  <c r="D3343" i="2"/>
  <c r="D3347" i="2"/>
  <c r="D3351" i="2"/>
  <c r="D3355" i="2"/>
  <c r="D3359" i="2"/>
  <c r="D3363" i="2"/>
  <c r="D3367" i="2"/>
  <c r="D3371" i="2"/>
  <c r="D3375" i="2"/>
  <c r="D3379" i="2"/>
  <c r="D3383" i="2"/>
  <c r="D3387" i="2"/>
  <c r="D3391" i="2"/>
  <c r="D3395" i="2"/>
  <c r="D3399" i="2"/>
  <c r="D3403" i="2"/>
  <c r="D3407" i="2"/>
  <c r="D3411" i="2"/>
  <c r="D3415" i="2"/>
  <c r="N3244" i="2"/>
  <c r="D3244" i="2"/>
  <c r="D3248" i="2"/>
  <c r="D3252" i="2"/>
  <c r="D3256" i="2"/>
  <c r="D3260" i="2"/>
  <c r="D3264" i="2"/>
  <c r="D3268" i="2"/>
  <c r="D3272" i="2"/>
  <c r="D3276" i="2"/>
  <c r="D3280" i="2"/>
  <c r="D3284" i="2"/>
  <c r="D3288" i="2"/>
  <c r="D3292" i="2"/>
  <c r="D3296" i="2"/>
  <c r="D3335" i="2"/>
  <c r="D3245" i="2"/>
  <c r="D3249" i="2"/>
  <c r="D3253" i="2"/>
  <c r="D3257" i="2"/>
  <c r="D3261" i="2"/>
  <c r="D3265" i="2"/>
  <c r="D3269" i="2"/>
  <c r="D3273" i="2"/>
  <c r="D3277" i="2"/>
  <c r="D3281" i="2"/>
  <c r="D3285" i="2"/>
  <c r="D3289" i="2"/>
  <c r="D3293" i="2"/>
  <c r="D3297" i="2"/>
  <c r="D3246" i="2"/>
  <c r="D3250" i="2"/>
  <c r="D3254" i="2"/>
  <c r="D3258" i="2"/>
  <c r="D3262" i="2"/>
  <c r="D3266" i="2"/>
  <c r="D3270" i="2"/>
  <c r="D3274" i="2"/>
  <c r="D3278" i="2"/>
  <c r="D3282" i="2"/>
  <c r="D3286" i="2"/>
  <c r="D3290" i="2"/>
  <c r="D3294" i="2"/>
  <c r="D3298" i="2"/>
  <c r="D3247" i="2"/>
  <c r="D3251" i="2"/>
  <c r="D3255" i="2"/>
  <c r="D3259" i="2"/>
  <c r="D3263" i="2"/>
  <c r="D3267" i="2"/>
  <c r="D3271" i="2"/>
  <c r="D3275" i="2"/>
  <c r="D3279" i="2"/>
  <c r="D3283" i="2"/>
  <c r="D3287" i="2"/>
  <c r="D3291" i="2"/>
  <c r="D3295" i="2"/>
  <c r="D3299" i="2"/>
  <c r="N3122" i="2"/>
  <c r="D3122" i="2"/>
  <c r="D3126" i="2"/>
  <c r="D3130" i="2"/>
  <c r="D3134" i="2"/>
  <c r="D3138" i="2"/>
  <c r="D3142" i="2"/>
  <c r="D3146" i="2"/>
  <c r="D3150" i="2"/>
  <c r="D3154" i="2"/>
  <c r="D3158" i="2"/>
  <c r="D3162" i="2"/>
  <c r="D3166" i="2"/>
  <c r="D3170" i="2"/>
  <c r="D3174" i="2"/>
  <c r="D3178" i="2"/>
  <c r="D3182" i="2"/>
  <c r="D3186" i="2"/>
  <c r="D3190" i="2"/>
  <c r="D3194" i="2"/>
  <c r="D3198" i="2"/>
  <c r="D3202" i="2"/>
  <c r="D3123" i="2"/>
  <c r="D3127" i="2"/>
  <c r="D3131" i="2"/>
  <c r="D3135" i="2"/>
  <c r="D3139" i="2"/>
  <c r="D3143" i="2"/>
  <c r="D3147" i="2"/>
  <c r="D3151" i="2"/>
  <c r="D3155" i="2"/>
  <c r="D3159" i="2"/>
  <c r="D3163" i="2"/>
  <c r="D3167" i="2"/>
  <c r="D3171" i="2"/>
  <c r="D3175" i="2"/>
  <c r="D3179" i="2"/>
  <c r="D3183" i="2"/>
  <c r="D3187" i="2"/>
  <c r="D3191" i="2"/>
  <c r="D3195" i="2"/>
  <c r="D3199" i="2"/>
  <c r="D3124" i="2"/>
  <c r="D3128" i="2"/>
  <c r="D3132" i="2"/>
  <c r="D3136" i="2"/>
  <c r="D3140" i="2"/>
  <c r="D3144" i="2"/>
  <c r="D3148" i="2"/>
  <c r="D3152" i="2"/>
  <c r="D3156" i="2"/>
  <c r="D3160" i="2"/>
  <c r="D3164" i="2"/>
  <c r="D3168" i="2"/>
  <c r="D3172" i="2"/>
  <c r="D3176" i="2"/>
  <c r="D3180" i="2"/>
  <c r="D3184" i="2"/>
  <c r="D3188" i="2"/>
  <c r="D3192" i="2"/>
  <c r="D3196" i="2"/>
  <c r="D3200" i="2"/>
  <c r="D3125" i="2"/>
  <c r="D3129" i="2"/>
  <c r="D3133" i="2"/>
  <c r="D3137" i="2"/>
  <c r="D3141" i="2"/>
  <c r="D3145" i="2"/>
  <c r="D3149" i="2"/>
  <c r="D3153" i="2"/>
  <c r="D3157" i="2"/>
  <c r="D3161" i="2"/>
  <c r="D3165" i="2"/>
  <c r="D3169" i="2"/>
  <c r="D3173" i="2"/>
  <c r="D3177" i="2"/>
  <c r="D3181" i="2"/>
  <c r="D3185" i="2"/>
  <c r="D3189" i="2"/>
  <c r="D3193" i="2"/>
  <c r="D3197" i="2"/>
  <c r="D3201" i="2"/>
  <c r="N2838" i="2"/>
  <c r="D2838" i="2"/>
  <c r="N2836" i="2"/>
  <c r="D2836" i="2"/>
  <c r="D2840" i="2"/>
  <c r="D2844" i="2"/>
  <c r="D2848" i="2"/>
  <c r="D2852" i="2"/>
  <c r="D2856" i="2"/>
  <c r="D2860" i="2"/>
  <c r="D2864" i="2"/>
  <c r="D2868" i="2"/>
  <c r="D2872" i="2"/>
  <c r="D2876" i="2"/>
  <c r="D2880" i="2"/>
  <c r="D2884" i="2"/>
  <c r="D2888" i="2"/>
  <c r="D2892" i="2"/>
  <c r="D2896" i="2"/>
  <c r="D2900" i="2"/>
  <c r="D2904" i="2"/>
  <c r="D2908" i="2"/>
  <c r="D2912" i="2"/>
  <c r="D2916" i="2"/>
  <c r="D2920" i="2"/>
  <c r="D2924" i="2"/>
  <c r="D2928" i="2"/>
  <c r="D2932" i="2"/>
  <c r="D2936" i="2"/>
  <c r="D2940" i="2"/>
  <c r="D2944" i="2"/>
  <c r="D2948" i="2"/>
  <c r="D2952" i="2"/>
  <c r="D2956" i="2"/>
  <c r="D2960" i="2"/>
  <c r="D2964" i="2"/>
  <c r="D2968" i="2"/>
  <c r="D2972" i="2"/>
  <c r="D2976" i="2"/>
  <c r="D2980" i="2"/>
  <c r="D2984" i="2"/>
  <c r="D2988" i="2"/>
  <c r="D2992" i="2"/>
  <c r="D2996" i="2"/>
  <c r="D3000" i="2"/>
  <c r="D3004" i="2"/>
  <c r="D3008" i="2"/>
  <c r="D3012" i="2"/>
  <c r="D3016" i="2"/>
  <c r="D3020" i="2"/>
  <c r="D2837" i="2"/>
  <c r="D2841" i="2"/>
  <c r="D2845" i="2"/>
  <c r="D2849" i="2"/>
  <c r="D2853" i="2"/>
  <c r="D2857" i="2"/>
  <c r="D2861" i="2"/>
  <c r="D2865" i="2"/>
  <c r="D2869" i="2"/>
  <c r="D2873" i="2"/>
  <c r="D2877" i="2"/>
  <c r="D2881" i="2"/>
  <c r="D2885" i="2"/>
  <c r="D2889" i="2"/>
  <c r="D2893" i="2"/>
  <c r="D2897" i="2"/>
  <c r="D2901" i="2"/>
  <c r="D2905" i="2"/>
  <c r="D2909" i="2"/>
  <c r="D2913" i="2"/>
  <c r="D2917" i="2"/>
  <c r="D2921" i="2"/>
  <c r="D2925" i="2"/>
  <c r="D2929" i="2"/>
  <c r="D2933" i="2"/>
  <c r="D2937" i="2"/>
  <c r="D2941" i="2"/>
  <c r="D2945" i="2"/>
  <c r="D2949" i="2"/>
  <c r="D2953" i="2"/>
  <c r="D2957" i="2"/>
  <c r="D2961" i="2"/>
  <c r="D2965" i="2"/>
  <c r="D2969" i="2"/>
  <c r="D2973" i="2"/>
  <c r="D2977" i="2"/>
  <c r="D2981" i="2"/>
  <c r="D2985" i="2"/>
  <c r="D2989" i="2"/>
  <c r="D2993" i="2"/>
  <c r="D2997" i="2"/>
  <c r="D3001" i="2"/>
  <c r="D3005" i="2"/>
  <c r="D3009" i="2"/>
  <c r="D3013" i="2"/>
  <c r="D3017" i="2"/>
  <c r="D3021" i="2"/>
  <c r="D2842" i="2"/>
  <c r="D2846" i="2"/>
  <c r="D2850" i="2"/>
  <c r="D2854" i="2"/>
  <c r="D2858" i="2"/>
  <c r="D2862" i="2"/>
  <c r="D2866" i="2"/>
  <c r="D2870" i="2"/>
  <c r="D2874" i="2"/>
  <c r="D2878" i="2"/>
  <c r="D2882" i="2"/>
  <c r="D2886" i="2"/>
  <c r="D2890" i="2"/>
  <c r="D2894" i="2"/>
  <c r="D2898" i="2"/>
  <c r="D2902" i="2"/>
  <c r="D2906" i="2"/>
  <c r="D2910" i="2"/>
  <c r="D2914" i="2"/>
  <c r="D2918" i="2"/>
  <c r="D2922" i="2"/>
  <c r="D2926" i="2"/>
  <c r="D2930" i="2"/>
  <c r="D2934" i="2"/>
  <c r="D2938" i="2"/>
  <c r="D2942" i="2"/>
  <c r="D2946" i="2"/>
  <c r="D2950" i="2"/>
  <c r="D2954" i="2"/>
  <c r="D2958" i="2"/>
  <c r="D2962" i="2"/>
  <c r="D2966" i="2"/>
  <c r="D2970" i="2"/>
  <c r="D2974" i="2"/>
  <c r="D2978" i="2"/>
  <c r="D2982" i="2"/>
  <c r="D2986" i="2"/>
  <c r="D2990" i="2"/>
  <c r="D2994" i="2"/>
  <c r="D2998" i="2"/>
  <c r="D3002" i="2"/>
  <c r="D3006" i="2"/>
  <c r="D3010" i="2"/>
  <c r="D3014" i="2"/>
  <c r="D3018" i="2"/>
  <c r="D3023" i="2"/>
  <c r="D2839" i="2"/>
  <c r="D2843" i="2"/>
  <c r="D2847" i="2"/>
  <c r="D2851" i="2"/>
  <c r="D2855" i="2"/>
  <c r="D2859" i="2"/>
  <c r="D2863" i="2"/>
  <c r="D2867" i="2"/>
  <c r="D2871" i="2"/>
  <c r="D2875" i="2"/>
  <c r="D2879" i="2"/>
  <c r="D2883" i="2"/>
  <c r="D2887" i="2"/>
  <c r="D2891" i="2"/>
  <c r="D2895" i="2"/>
  <c r="D2899" i="2"/>
  <c r="D2903" i="2"/>
  <c r="D2907" i="2"/>
  <c r="D2911" i="2"/>
  <c r="D2915" i="2"/>
  <c r="D2919" i="2"/>
  <c r="D2923" i="2"/>
  <c r="D2927" i="2"/>
  <c r="D2931" i="2"/>
  <c r="D2935" i="2"/>
  <c r="D2939" i="2"/>
  <c r="D2943" i="2"/>
  <c r="D2947" i="2"/>
  <c r="D2951" i="2"/>
  <c r="D2955" i="2"/>
  <c r="D2959" i="2"/>
  <c r="D2963" i="2"/>
  <c r="D2967" i="2"/>
  <c r="D2971" i="2"/>
  <c r="D2975" i="2"/>
  <c r="D2979" i="2"/>
  <c r="D2983" i="2"/>
  <c r="D2987" i="2"/>
  <c r="D2991" i="2"/>
  <c r="D2995" i="2"/>
  <c r="D2999" i="2"/>
  <c r="D3003" i="2"/>
  <c r="D3007" i="2"/>
  <c r="D3011" i="2"/>
  <c r="D3015" i="2"/>
  <c r="D3019" i="2"/>
  <c r="N2320" i="2"/>
  <c r="D2320" i="2"/>
  <c r="D2324" i="2"/>
  <c r="D2328" i="2"/>
  <c r="D2332" i="2"/>
  <c r="D2336" i="2"/>
  <c r="D2340" i="2"/>
  <c r="D2344" i="2"/>
  <c r="D2348" i="2"/>
  <c r="D2352" i="2"/>
  <c r="D2356" i="2"/>
  <c r="D2359" i="2"/>
  <c r="D2363" i="2"/>
  <c r="D2367" i="2"/>
  <c r="D2371" i="2"/>
  <c r="D2375" i="2"/>
  <c r="D2379" i="2"/>
  <c r="D2383" i="2"/>
  <c r="D2387" i="2"/>
  <c r="D2391" i="2"/>
  <c r="D2321" i="2"/>
  <c r="D2325" i="2"/>
  <c r="D2329" i="2"/>
  <c r="D2333" i="2"/>
  <c r="D2337" i="2"/>
  <c r="D2341" i="2"/>
  <c r="D2345" i="2"/>
  <c r="D2349" i="2"/>
  <c r="D2353" i="2"/>
  <c r="D2357" i="2"/>
  <c r="D2360" i="2"/>
  <c r="D2364" i="2"/>
  <c r="D2368" i="2"/>
  <c r="D2372" i="2"/>
  <c r="D2376" i="2"/>
  <c r="D2380" i="2"/>
  <c r="D2384" i="2"/>
  <c r="D2388" i="2"/>
  <c r="D2392" i="2"/>
  <c r="D2322" i="2"/>
  <c r="D2326" i="2"/>
  <c r="D2330" i="2"/>
  <c r="D2334" i="2"/>
  <c r="D2338" i="2"/>
  <c r="D2342" i="2"/>
  <c r="D2346" i="2"/>
  <c r="D2350" i="2"/>
  <c r="D2354" i="2"/>
  <c r="D2361" i="2"/>
  <c r="D2365" i="2"/>
  <c r="D2369" i="2"/>
  <c r="D2373" i="2"/>
  <c r="D2377" i="2"/>
  <c r="D2381" i="2"/>
  <c r="D2385" i="2"/>
  <c r="D2389" i="2"/>
  <c r="D2323" i="2"/>
  <c r="D2327" i="2"/>
  <c r="D2331" i="2"/>
  <c r="D2335" i="2"/>
  <c r="D2339" i="2"/>
  <c r="D2343" i="2"/>
  <c r="D2347" i="2"/>
  <c r="D2351" i="2"/>
  <c r="D2355" i="2"/>
  <c r="D2358" i="2"/>
  <c r="D2362" i="2"/>
  <c r="D2366" i="2"/>
  <c r="D2370" i="2"/>
  <c r="D2374" i="2"/>
  <c r="D2378" i="2"/>
  <c r="D2382" i="2"/>
  <c r="D2386" i="2"/>
  <c r="D2390" i="2"/>
  <c r="N2017" i="2"/>
  <c r="D2017" i="2"/>
  <c r="D2021" i="2"/>
  <c r="D2025" i="2"/>
  <c r="D2029" i="2"/>
  <c r="D2018" i="2"/>
  <c r="D2022" i="2"/>
  <c r="D2026" i="2"/>
  <c r="D2030" i="2"/>
  <c r="D2019" i="2"/>
  <c r="D2023" i="2"/>
  <c r="D2027" i="2"/>
  <c r="D2031" i="2"/>
  <c r="D2020" i="2"/>
  <c r="D2024" i="2"/>
  <c r="D2028" i="2"/>
  <c r="D2032" i="2"/>
  <c r="N1969" i="2"/>
  <c r="D1969" i="2"/>
  <c r="D1973" i="2"/>
  <c r="D1977" i="2"/>
  <c r="D1981" i="2"/>
  <c r="D1985" i="2"/>
  <c r="D1989" i="2"/>
  <c r="D1993" i="2"/>
  <c r="D1970" i="2"/>
  <c r="D1974" i="2"/>
  <c r="D1978" i="2"/>
  <c r="D1982" i="2"/>
  <c r="D1986" i="2"/>
  <c r="D1990" i="2"/>
  <c r="D1994" i="2"/>
  <c r="D1971" i="2"/>
  <c r="D1975" i="2"/>
  <c r="D1979" i="2"/>
  <c r="D1983" i="2"/>
  <c r="D1987" i="2"/>
  <c r="D1991" i="2"/>
  <c r="D1995" i="2"/>
  <c r="D1972" i="2"/>
  <c r="D1976" i="2"/>
  <c r="D1980" i="2"/>
  <c r="D1984" i="2"/>
  <c r="D1988" i="2"/>
  <c r="D1992" i="2"/>
  <c r="D1996" i="2"/>
  <c r="N1902" i="2"/>
  <c r="D1903" i="2"/>
  <c r="D1907" i="2"/>
  <c r="D1911" i="2"/>
  <c r="D1915" i="2"/>
  <c r="D1919" i="2"/>
  <c r="D1923" i="2"/>
  <c r="D1927" i="2"/>
  <c r="D1931" i="2"/>
  <c r="D1935" i="2"/>
  <c r="D1939" i="2"/>
  <c r="D1943" i="2"/>
  <c r="D1947" i="2"/>
  <c r="D1951" i="2"/>
  <c r="D1955" i="2"/>
  <c r="D1959" i="2"/>
  <c r="D1963" i="2"/>
  <c r="D1967" i="2"/>
  <c r="D1904" i="2"/>
  <c r="D1908" i="2"/>
  <c r="D1912" i="2"/>
  <c r="D1916" i="2"/>
  <c r="D1920" i="2"/>
  <c r="D1924" i="2"/>
  <c r="D1928" i="2"/>
  <c r="D1932" i="2"/>
  <c r="D1936" i="2"/>
  <c r="D1940" i="2"/>
  <c r="D1944" i="2"/>
  <c r="D1948" i="2"/>
  <c r="D1952" i="2"/>
  <c r="D1956" i="2"/>
  <c r="D1960" i="2"/>
  <c r="D1964" i="2"/>
  <c r="D1968" i="2"/>
  <c r="D1905" i="2"/>
  <c r="D1909" i="2"/>
  <c r="D1913" i="2"/>
  <c r="D1917" i="2"/>
  <c r="D1921" i="2"/>
  <c r="D1925" i="2"/>
  <c r="D1929" i="2"/>
  <c r="D1933" i="2"/>
  <c r="D1937" i="2"/>
  <c r="D1941" i="2"/>
  <c r="D1945" i="2"/>
  <c r="D1949" i="2"/>
  <c r="D1953" i="2"/>
  <c r="D1957" i="2"/>
  <c r="D1961" i="2"/>
  <c r="D1965" i="2"/>
  <c r="D1902" i="2"/>
  <c r="D1906" i="2"/>
  <c r="D1910" i="2"/>
  <c r="D1914" i="2"/>
  <c r="D1918" i="2"/>
  <c r="D1922" i="2"/>
  <c r="D1926" i="2"/>
  <c r="D1930" i="2"/>
  <c r="D1934" i="2"/>
  <c r="D1938" i="2"/>
  <c r="D1942" i="2"/>
  <c r="D1946" i="2"/>
  <c r="D1950" i="2"/>
  <c r="D1954" i="2"/>
  <c r="D1958" i="2"/>
  <c r="D1962" i="2"/>
  <c r="D1966" i="2"/>
  <c r="D1616" i="2"/>
  <c r="D996" i="2"/>
  <c r="D617" i="2"/>
  <c r="D1200" i="2"/>
  <c r="N1154" i="2"/>
  <c r="D1815" i="2"/>
  <c r="N1813" i="2"/>
  <c r="D1826" i="2"/>
  <c r="D1822" i="2"/>
  <c r="D1818" i="2"/>
  <c r="D1814" i="2"/>
  <c r="D1825" i="2"/>
  <c r="D1821" i="2"/>
  <c r="D1817" i="2"/>
  <c r="D1813" i="2"/>
  <c r="D1824" i="2"/>
  <c r="D1820" i="2"/>
  <c r="D1816" i="2"/>
  <c r="D1823" i="2"/>
  <c r="D1819" i="2"/>
  <c r="D1766" i="2"/>
  <c r="D1809" i="2"/>
  <c r="D1805" i="2"/>
  <c r="D1801" i="2"/>
  <c r="D1797" i="2"/>
  <c r="D1793" i="2"/>
  <c r="D1789" i="2"/>
  <c r="D1785" i="2"/>
  <c r="D1781" i="2"/>
  <c r="D1777" i="2"/>
  <c r="D1773" i="2"/>
  <c r="D1769" i="2"/>
  <c r="D1765" i="2"/>
  <c r="N1764" i="2"/>
  <c r="D1812" i="2"/>
  <c r="D1808" i="2"/>
  <c r="D1804" i="2"/>
  <c r="D1800" i="2"/>
  <c r="D1796" i="2"/>
  <c r="D1792" i="2"/>
  <c r="D1788" i="2"/>
  <c r="D1784" i="2"/>
  <c r="D1780" i="2"/>
  <c r="D1776" i="2"/>
  <c r="D1772" i="2"/>
  <c r="D1768" i="2"/>
  <c r="D1764" i="2"/>
  <c r="D1811" i="2"/>
  <c r="D1807" i="2"/>
  <c r="D1803" i="2"/>
  <c r="D1799" i="2"/>
  <c r="D1795" i="2"/>
  <c r="D1791" i="2"/>
  <c r="D1787" i="2"/>
  <c r="D1783" i="2"/>
  <c r="D1779" i="2"/>
  <c r="D1775" i="2"/>
  <c r="D1771" i="2"/>
  <c r="D1767" i="2"/>
  <c r="D1810" i="2"/>
  <c r="D1806" i="2"/>
  <c r="D1802" i="2"/>
  <c r="D1798" i="2"/>
  <c r="D1794" i="2"/>
  <c r="D1790" i="2"/>
  <c r="D1786" i="2"/>
  <c r="D1782" i="2"/>
  <c r="D1778" i="2"/>
  <c r="D1774" i="2"/>
  <c r="D1770" i="2"/>
  <c r="D1619" i="2"/>
  <c r="D1615" i="2"/>
  <c r="D1618" i="2"/>
  <c r="D1614" i="2"/>
  <c r="D1621" i="2"/>
  <c r="D1617" i="2"/>
  <c r="D1620" i="2"/>
  <c r="D1155" i="2"/>
  <c r="D1204" i="2"/>
  <c r="D1192" i="2"/>
  <c r="D1210" i="2"/>
  <c r="D1206" i="2"/>
  <c r="D1202" i="2"/>
  <c r="D1198" i="2"/>
  <c r="D1194" i="2"/>
  <c r="D1190" i="2"/>
  <c r="D1186" i="2"/>
  <c r="D1182" i="2"/>
  <c r="D1178" i="2"/>
  <c r="D1174" i="2"/>
  <c r="D1170" i="2"/>
  <c r="D1166" i="2"/>
  <c r="D1162" i="2"/>
  <c r="D1158" i="2"/>
  <c r="D1154" i="2"/>
  <c r="D1209" i="2"/>
  <c r="D1205" i="2"/>
  <c r="D1201" i="2"/>
  <c r="D1197" i="2"/>
  <c r="D1193" i="2"/>
  <c r="D1189" i="2"/>
  <c r="D1185" i="2"/>
  <c r="D1181" i="2"/>
  <c r="D1177" i="2"/>
  <c r="D1173" i="2"/>
  <c r="D1169" i="2"/>
  <c r="D1165" i="2"/>
  <c r="D1161" i="2"/>
  <c r="D1157" i="2"/>
  <c r="D1153" i="2"/>
  <c r="D1208" i="2"/>
  <c r="D1196" i="2"/>
  <c r="D1188" i="2"/>
  <c r="D1184" i="2"/>
  <c r="D1180" i="2"/>
  <c r="D1176" i="2"/>
  <c r="D1172" i="2"/>
  <c r="D1168" i="2"/>
  <c r="D1164" i="2"/>
  <c r="D1160" i="2"/>
  <c r="D1156" i="2"/>
  <c r="D1207" i="2"/>
  <c r="D1203" i="2"/>
  <c r="D1199" i="2"/>
  <c r="D1195" i="2"/>
  <c r="D1191" i="2"/>
  <c r="D1187" i="2"/>
  <c r="D1183" i="2"/>
  <c r="D1179" i="2"/>
  <c r="D1175" i="2"/>
  <c r="D1171" i="2"/>
  <c r="D1167" i="2"/>
  <c r="D1163" i="2"/>
  <c r="D1159" i="2"/>
  <c r="D1143" i="2"/>
  <c r="D1127" i="2"/>
  <c r="D1111" i="2"/>
  <c r="D1095" i="2"/>
  <c r="D1079" i="2"/>
  <c r="D1063" i="2"/>
  <c r="D1047" i="2"/>
  <c r="D1031" i="2"/>
  <c r="D1016" i="2"/>
  <c r="D1000" i="2"/>
  <c r="D1139" i="2"/>
  <c r="D1123" i="2"/>
  <c r="D1107" i="2"/>
  <c r="D1091" i="2"/>
  <c r="D1075" i="2"/>
  <c r="D1059" i="2"/>
  <c r="D1043" i="2"/>
  <c r="D1012" i="2"/>
  <c r="D995" i="2"/>
  <c r="D999" i="2"/>
  <c r="D1003" i="2"/>
  <c r="D1007" i="2"/>
  <c r="D1011" i="2"/>
  <c r="D1015" i="2"/>
  <c r="D1019" i="2"/>
  <c r="D1023" i="2"/>
  <c r="D1027" i="2"/>
  <c r="D1030" i="2"/>
  <c r="D1034" i="2"/>
  <c r="D1038" i="2"/>
  <c r="D1042" i="2"/>
  <c r="D1046" i="2"/>
  <c r="D1050" i="2"/>
  <c r="D1054" i="2"/>
  <c r="D1058" i="2"/>
  <c r="D1062" i="2"/>
  <c r="D1066" i="2"/>
  <c r="D1070" i="2"/>
  <c r="D1074" i="2"/>
  <c r="D1078" i="2"/>
  <c r="D1082" i="2"/>
  <c r="D1086" i="2"/>
  <c r="D1090" i="2"/>
  <c r="D1094" i="2"/>
  <c r="D1098" i="2"/>
  <c r="D1102" i="2"/>
  <c r="D1106" i="2"/>
  <c r="D1110" i="2"/>
  <c r="D1114" i="2"/>
  <c r="D1118" i="2"/>
  <c r="D1122" i="2"/>
  <c r="D1126" i="2"/>
  <c r="D1130" i="2"/>
  <c r="D1134" i="2"/>
  <c r="D1138" i="2"/>
  <c r="D1142" i="2"/>
  <c r="D1146" i="2"/>
  <c r="D1150" i="2"/>
  <c r="D993" i="2"/>
  <c r="D997" i="2"/>
  <c r="D1001" i="2"/>
  <c r="D1005" i="2"/>
  <c r="D1009" i="2"/>
  <c r="D1013" i="2"/>
  <c r="D1017" i="2"/>
  <c r="D1021" i="2"/>
  <c r="D1025" i="2"/>
  <c r="D1028" i="2"/>
  <c r="D1032" i="2"/>
  <c r="D1036" i="2"/>
  <c r="D1040" i="2"/>
  <c r="D1044" i="2"/>
  <c r="D1048" i="2"/>
  <c r="D1052" i="2"/>
  <c r="D1056" i="2"/>
  <c r="D1060" i="2"/>
  <c r="D1064" i="2"/>
  <c r="D1068" i="2"/>
  <c r="D1072" i="2"/>
  <c r="D1076" i="2"/>
  <c r="D1080" i="2"/>
  <c r="D1084" i="2"/>
  <c r="D1088" i="2"/>
  <c r="D1092" i="2"/>
  <c r="D1096" i="2"/>
  <c r="D1100" i="2"/>
  <c r="D1104" i="2"/>
  <c r="D1108" i="2"/>
  <c r="D1112" i="2"/>
  <c r="D1116" i="2"/>
  <c r="D1120" i="2"/>
  <c r="D1124" i="2"/>
  <c r="D1128" i="2"/>
  <c r="D1132" i="2"/>
  <c r="D1136" i="2"/>
  <c r="D1140" i="2"/>
  <c r="D1144" i="2"/>
  <c r="D1148" i="2"/>
  <c r="D1152" i="2"/>
  <c r="D994" i="2"/>
  <c r="D998" i="2"/>
  <c r="D1002" i="2"/>
  <c r="D1006" i="2"/>
  <c r="D1010" i="2"/>
  <c r="D1014" i="2"/>
  <c r="D1018" i="2"/>
  <c r="D1022" i="2"/>
  <c r="D1026" i="2"/>
  <c r="D1029" i="2"/>
  <c r="D1033" i="2"/>
  <c r="D1037" i="2"/>
  <c r="D1041" i="2"/>
  <c r="D1045" i="2"/>
  <c r="D1049" i="2"/>
  <c r="D1053" i="2"/>
  <c r="D1057" i="2"/>
  <c r="D1061" i="2"/>
  <c r="D1065" i="2"/>
  <c r="D1069" i="2"/>
  <c r="D1073" i="2"/>
  <c r="D1077" i="2"/>
  <c r="D1081" i="2"/>
  <c r="D1085" i="2"/>
  <c r="D1089" i="2"/>
  <c r="D1093" i="2"/>
  <c r="D1097" i="2"/>
  <c r="D1101" i="2"/>
  <c r="D1105" i="2"/>
  <c r="D1109" i="2"/>
  <c r="D1113" i="2"/>
  <c r="D1117" i="2"/>
  <c r="D1121" i="2"/>
  <c r="D1125" i="2"/>
  <c r="D1129" i="2"/>
  <c r="D1133" i="2"/>
  <c r="D1137" i="2"/>
  <c r="D1141" i="2"/>
  <c r="D1145" i="2"/>
  <c r="D1149" i="2"/>
  <c r="N993" i="2"/>
  <c r="D1151" i="2"/>
  <c r="D1135" i="2"/>
  <c r="D1119" i="2"/>
  <c r="D1103" i="2"/>
  <c r="D1087" i="2"/>
  <c r="D1071" i="2"/>
  <c r="D1055" i="2"/>
  <c r="D1039" i="2"/>
  <c r="D1024" i="2"/>
  <c r="D1008" i="2"/>
  <c r="D1147" i="2"/>
  <c r="D1131" i="2"/>
  <c r="D1115" i="2"/>
  <c r="D1099" i="2"/>
  <c r="D1083" i="2"/>
  <c r="D1067" i="2"/>
  <c r="D1051" i="2"/>
  <c r="D1035" i="2"/>
  <c r="D1020" i="2"/>
  <c r="D1004" i="2"/>
  <c r="D980" i="2"/>
  <c r="D985" i="2"/>
  <c r="N978" i="2"/>
  <c r="D987" i="2"/>
  <c r="D983" i="2"/>
  <c r="D979" i="2"/>
  <c r="D986" i="2"/>
  <c r="D982" i="2"/>
  <c r="D978" i="2"/>
  <c r="D981" i="2"/>
  <c r="D988" i="2"/>
  <c r="D984" i="2"/>
  <c r="D624" i="2"/>
  <c r="D628" i="2"/>
  <c r="D632" i="2"/>
  <c r="D636" i="2"/>
  <c r="D640" i="2"/>
  <c r="D644" i="2"/>
  <c r="D648" i="2"/>
  <c r="D652" i="2"/>
  <c r="D656" i="2"/>
  <c r="D660" i="2"/>
  <c r="D664" i="2"/>
  <c r="D668" i="2"/>
  <c r="D672" i="2"/>
  <c r="D676" i="2"/>
  <c r="D680" i="2"/>
  <c r="D684" i="2"/>
  <c r="D688" i="2"/>
  <c r="D692" i="2"/>
  <c r="D696" i="2"/>
  <c r="D700" i="2"/>
  <c r="D704" i="2"/>
  <c r="D708" i="2"/>
  <c r="D712" i="2"/>
  <c r="D716" i="2"/>
  <c r="D720" i="2"/>
  <c r="D724" i="2"/>
  <c r="D728" i="2"/>
  <c r="D732" i="2"/>
  <c r="D736" i="2"/>
  <c r="D740" i="2"/>
  <c r="D744" i="2"/>
  <c r="D748" i="2"/>
  <c r="D752" i="2"/>
  <c r="D756" i="2"/>
  <c r="D760" i="2"/>
  <c r="D764" i="2"/>
  <c r="D768" i="2"/>
  <c r="D772" i="2"/>
  <c r="D776" i="2"/>
  <c r="D780" i="2"/>
  <c r="D784" i="2"/>
  <c r="D788" i="2"/>
  <c r="D792" i="2"/>
  <c r="D796" i="2"/>
  <c r="D800" i="2"/>
  <c r="D804" i="2"/>
  <c r="D808" i="2"/>
  <c r="D812" i="2"/>
  <c r="D816" i="2"/>
  <c r="D820" i="2"/>
  <c r="D824" i="2"/>
  <c r="D828" i="2"/>
  <c r="D832" i="2"/>
  <c r="D836" i="2"/>
  <c r="D840" i="2"/>
  <c r="D844" i="2"/>
  <c r="D848" i="2"/>
  <c r="D852" i="2"/>
  <c r="D856" i="2"/>
  <c r="D860" i="2"/>
  <c r="D864" i="2"/>
  <c r="D868" i="2"/>
  <c r="D872" i="2"/>
  <c r="D876" i="2"/>
  <c r="D880" i="2"/>
  <c r="D884" i="2"/>
  <c r="D888" i="2"/>
  <c r="D892" i="2"/>
  <c r="D896" i="2"/>
  <c r="D900" i="2"/>
  <c r="D904" i="2"/>
  <c r="D908" i="2"/>
  <c r="D912" i="2"/>
  <c r="D916" i="2"/>
  <c r="D920" i="2"/>
  <c r="D924" i="2"/>
  <c r="D928" i="2"/>
  <c r="D932" i="2"/>
  <c r="D936" i="2"/>
  <c r="D940" i="2"/>
  <c r="D944" i="2"/>
  <c r="D948" i="2"/>
  <c r="D952" i="2"/>
  <c r="D956" i="2"/>
  <c r="D960" i="2"/>
  <c r="D621" i="2"/>
  <c r="D625" i="2"/>
  <c r="D629" i="2"/>
  <c r="D633" i="2"/>
  <c r="D637" i="2"/>
  <c r="D641" i="2"/>
  <c r="D645" i="2"/>
  <c r="D649" i="2"/>
  <c r="D653" i="2"/>
  <c r="D657" i="2"/>
  <c r="D661" i="2"/>
  <c r="D665" i="2"/>
  <c r="D669" i="2"/>
  <c r="D673" i="2"/>
  <c r="D677" i="2"/>
  <c r="D681" i="2"/>
  <c r="D685" i="2"/>
  <c r="D689" i="2"/>
  <c r="D693" i="2"/>
  <c r="D697" i="2"/>
  <c r="D701" i="2"/>
  <c r="D705" i="2"/>
  <c r="D709" i="2"/>
  <c r="D713" i="2"/>
  <c r="D717" i="2"/>
  <c r="D721" i="2"/>
  <c r="D725" i="2"/>
  <c r="D729" i="2"/>
  <c r="D733" i="2"/>
  <c r="D737" i="2"/>
  <c r="D741" i="2"/>
  <c r="D745" i="2"/>
  <c r="D749" i="2"/>
  <c r="D753" i="2"/>
  <c r="D757" i="2"/>
  <c r="D761" i="2"/>
  <c r="D765" i="2"/>
  <c r="D769" i="2"/>
  <c r="D773" i="2"/>
  <c r="D777" i="2"/>
  <c r="D781" i="2"/>
  <c r="D785" i="2"/>
  <c r="D789" i="2"/>
  <c r="D793" i="2"/>
  <c r="D797" i="2"/>
  <c r="D801" i="2"/>
  <c r="D805" i="2"/>
  <c r="D809" i="2"/>
  <c r="D813" i="2"/>
  <c r="D817" i="2"/>
  <c r="D821" i="2"/>
  <c r="D825" i="2"/>
  <c r="D829" i="2"/>
  <c r="D833" i="2"/>
  <c r="D837" i="2"/>
  <c r="D841" i="2"/>
  <c r="D845" i="2"/>
  <c r="D849" i="2"/>
  <c r="D853" i="2"/>
  <c r="D857" i="2"/>
  <c r="D861" i="2"/>
  <c r="D865" i="2"/>
  <c r="D869" i="2"/>
  <c r="D873" i="2"/>
  <c r="D877" i="2"/>
  <c r="D881" i="2"/>
  <c r="D885" i="2"/>
  <c r="D889" i="2"/>
  <c r="D893" i="2"/>
  <c r="D897" i="2"/>
  <c r="D901" i="2"/>
  <c r="D905" i="2"/>
  <c r="D909" i="2"/>
  <c r="D913" i="2"/>
  <c r="D917" i="2"/>
  <c r="D921" i="2"/>
  <c r="D925" i="2"/>
  <c r="D929" i="2"/>
  <c r="D933" i="2"/>
  <c r="D622" i="2"/>
  <c r="D626" i="2"/>
  <c r="D630" i="2"/>
  <c r="D634" i="2"/>
  <c r="D638" i="2"/>
  <c r="D642" i="2"/>
  <c r="D646" i="2"/>
  <c r="D650" i="2"/>
  <c r="D654" i="2"/>
  <c r="D658" i="2"/>
  <c r="D662" i="2"/>
  <c r="D666" i="2"/>
  <c r="D670" i="2"/>
  <c r="D674" i="2"/>
  <c r="D678" i="2"/>
  <c r="D682" i="2"/>
  <c r="D686" i="2"/>
  <c r="D690" i="2"/>
  <c r="D694" i="2"/>
  <c r="D698" i="2"/>
  <c r="D702" i="2"/>
  <c r="D706" i="2"/>
  <c r="D710" i="2"/>
  <c r="D714" i="2"/>
  <c r="D718" i="2"/>
  <c r="D722" i="2"/>
  <c r="D726" i="2"/>
  <c r="D730" i="2"/>
  <c r="D734" i="2"/>
  <c r="D631" i="2"/>
  <c r="D647" i="2"/>
  <c r="D663" i="2"/>
  <c r="D679" i="2"/>
  <c r="D695" i="2"/>
  <c r="D711" i="2"/>
  <c r="D727" i="2"/>
  <c r="D739" i="2"/>
  <c r="D747" i="2"/>
  <c r="D755" i="2"/>
  <c r="D763" i="2"/>
  <c r="D771" i="2"/>
  <c r="D779" i="2"/>
  <c r="D787" i="2"/>
  <c r="D795" i="2"/>
  <c r="D803" i="2"/>
  <c r="D811" i="2"/>
  <c r="D819" i="2"/>
  <c r="D827" i="2"/>
  <c r="D835" i="2"/>
  <c r="D843" i="2"/>
  <c r="D851" i="2"/>
  <c r="D859" i="2"/>
  <c r="D867" i="2"/>
  <c r="D875" i="2"/>
  <c r="D883" i="2"/>
  <c r="D891" i="2"/>
  <c r="D899" i="2"/>
  <c r="D907" i="2"/>
  <c r="D915" i="2"/>
  <c r="D923" i="2"/>
  <c r="D931" i="2"/>
  <c r="D938" i="2"/>
  <c r="D943" i="2"/>
  <c r="D949" i="2"/>
  <c r="D954" i="2"/>
  <c r="D959" i="2"/>
  <c r="D964" i="2"/>
  <c r="D968" i="2"/>
  <c r="D972" i="2"/>
  <c r="D976" i="2"/>
  <c r="D635" i="2"/>
  <c r="D651" i="2"/>
  <c r="D667" i="2"/>
  <c r="D683" i="2"/>
  <c r="D699" i="2"/>
  <c r="D715" i="2"/>
  <c r="D731" i="2"/>
  <c r="D742" i="2"/>
  <c r="D750" i="2"/>
  <c r="D758" i="2"/>
  <c r="D766" i="2"/>
  <c r="D774" i="2"/>
  <c r="D782" i="2"/>
  <c r="D790" i="2"/>
  <c r="D798" i="2"/>
  <c r="D806" i="2"/>
  <c r="D814" i="2"/>
  <c r="D822" i="2"/>
  <c r="D830" i="2"/>
  <c r="D838" i="2"/>
  <c r="D846" i="2"/>
  <c r="D854" i="2"/>
  <c r="D862" i="2"/>
  <c r="D870" i="2"/>
  <c r="D878" i="2"/>
  <c r="D886" i="2"/>
  <c r="D894" i="2"/>
  <c r="D902" i="2"/>
  <c r="D910" i="2"/>
  <c r="D918" i="2"/>
  <c r="D926" i="2"/>
  <c r="D934" i="2"/>
  <c r="D939" i="2"/>
  <c r="D945" i="2"/>
  <c r="D950" i="2"/>
  <c r="D955" i="2"/>
  <c r="D961" i="2"/>
  <c r="D965" i="2"/>
  <c r="D969" i="2"/>
  <c r="D973" i="2"/>
  <c r="D977" i="2"/>
  <c r="D623" i="2"/>
  <c r="D639" i="2"/>
  <c r="D655" i="2"/>
  <c r="D671" i="2"/>
  <c r="D687" i="2"/>
  <c r="D703" i="2"/>
  <c r="D719" i="2"/>
  <c r="D735" i="2"/>
  <c r="D743" i="2"/>
  <c r="D751" i="2"/>
  <c r="D759" i="2"/>
  <c r="D767" i="2"/>
  <c r="D775" i="2"/>
  <c r="D783" i="2"/>
  <c r="D791" i="2"/>
  <c r="D799" i="2"/>
  <c r="D807" i="2"/>
  <c r="D815" i="2"/>
  <c r="D823" i="2"/>
  <c r="D831" i="2"/>
  <c r="D839" i="2"/>
  <c r="D847" i="2"/>
  <c r="D855" i="2"/>
  <c r="D863" i="2"/>
  <c r="D871" i="2"/>
  <c r="D879" i="2"/>
  <c r="D887" i="2"/>
  <c r="D895" i="2"/>
  <c r="D903" i="2"/>
  <c r="D911" i="2"/>
  <c r="D919" i="2"/>
  <c r="D927" i="2"/>
  <c r="D935" i="2"/>
  <c r="D941" i="2"/>
  <c r="D946" i="2"/>
  <c r="D951" i="2"/>
  <c r="D957" i="2"/>
  <c r="D962" i="2"/>
  <c r="D966" i="2"/>
  <c r="D970" i="2"/>
  <c r="D974" i="2"/>
  <c r="D627" i="2"/>
  <c r="D643" i="2"/>
  <c r="D659" i="2"/>
  <c r="D675" i="2"/>
  <c r="D691" i="2"/>
  <c r="D707" i="2"/>
  <c r="D723" i="2"/>
  <c r="D738" i="2"/>
  <c r="D746" i="2"/>
  <c r="D754" i="2"/>
  <c r="D762" i="2"/>
  <c r="D770" i="2"/>
  <c r="D778" i="2"/>
  <c r="D786" i="2"/>
  <c r="D794" i="2"/>
  <c r="D802" i="2"/>
  <c r="D810" i="2"/>
  <c r="D818" i="2"/>
  <c r="D826" i="2"/>
  <c r="D834" i="2"/>
  <c r="D842" i="2"/>
  <c r="D850" i="2"/>
  <c r="D858" i="2"/>
  <c r="D866" i="2"/>
  <c r="D874" i="2"/>
  <c r="D882" i="2"/>
  <c r="D890" i="2"/>
  <c r="D898" i="2"/>
  <c r="D906" i="2"/>
  <c r="D914" i="2"/>
  <c r="D922" i="2"/>
  <c r="D930" i="2"/>
  <c r="D937" i="2"/>
  <c r="D942" i="2"/>
  <c r="D947" i="2"/>
  <c r="D953" i="2"/>
  <c r="D958" i="2"/>
  <c r="D963" i="2"/>
  <c r="D967" i="2"/>
  <c r="D971" i="2"/>
  <c r="D975" i="2"/>
  <c r="N608" i="2"/>
  <c r="D608" i="2"/>
  <c r="D613" i="2"/>
  <c r="D609" i="2"/>
  <c r="D619" i="2"/>
  <c r="D615" i="2"/>
  <c r="D611" i="2"/>
  <c r="D607" i="2"/>
  <c r="D618" i="2"/>
  <c r="D614" i="2"/>
  <c r="D610" i="2"/>
  <c r="D606" i="2"/>
  <c r="D620" i="2"/>
  <c r="D616" i="2"/>
  <c r="D612" i="2"/>
  <c r="D446" i="2"/>
  <c r="D430" i="2"/>
  <c r="D414" i="2"/>
  <c r="D398" i="2"/>
  <c r="D382" i="2"/>
  <c r="D358" i="2"/>
  <c r="D326" i="2"/>
  <c r="D262" i="2"/>
  <c r="N194" i="2"/>
  <c r="D197" i="2"/>
  <c r="D201" i="2"/>
  <c r="D205" i="2"/>
  <c r="D209" i="2"/>
  <c r="D213" i="2"/>
  <c r="D217" i="2"/>
  <c r="D221" i="2"/>
  <c r="D225" i="2"/>
  <c r="D229" i="2"/>
  <c r="D233" i="2"/>
  <c r="D237" i="2"/>
  <c r="D241" i="2"/>
  <c r="D245" i="2"/>
  <c r="D249" i="2"/>
  <c r="D253" i="2"/>
  <c r="D257" i="2"/>
  <c r="D261" i="2"/>
  <c r="D265" i="2"/>
  <c r="D269" i="2"/>
  <c r="D273" i="2"/>
  <c r="D277" i="2"/>
  <c r="D281" i="2"/>
  <c r="D285" i="2"/>
  <c r="D289" i="2"/>
  <c r="D293" i="2"/>
  <c r="D297" i="2"/>
  <c r="D301" i="2"/>
  <c r="D305" i="2"/>
  <c r="D309" i="2"/>
  <c r="D313" i="2"/>
  <c r="D317" i="2"/>
  <c r="D321" i="2"/>
  <c r="D325" i="2"/>
  <c r="D329" i="2"/>
  <c r="D333" i="2"/>
  <c r="D337" i="2"/>
  <c r="D341" i="2"/>
  <c r="D345" i="2"/>
  <c r="D349" i="2"/>
  <c r="D353" i="2"/>
  <c r="D357" i="2"/>
  <c r="D361" i="2"/>
  <c r="D365" i="2"/>
  <c r="D369" i="2"/>
  <c r="D373" i="2"/>
  <c r="D377" i="2"/>
  <c r="D381" i="2"/>
  <c r="D385" i="2"/>
  <c r="D389" i="2"/>
  <c r="D393" i="2"/>
  <c r="D397" i="2"/>
  <c r="D401" i="2"/>
  <c r="D405" i="2"/>
  <c r="D409" i="2"/>
  <c r="D413" i="2"/>
  <c r="D417" i="2"/>
  <c r="D421" i="2"/>
  <c r="D425" i="2"/>
  <c r="D429" i="2"/>
  <c r="D433" i="2"/>
  <c r="D437" i="2"/>
  <c r="D441" i="2"/>
  <c r="D445" i="2"/>
  <c r="D449" i="2"/>
  <c r="D194" i="2"/>
  <c r="D202" i="2"/>
  <c r="D206" i="2"/>
  <c r="D210" i="2"/>
  <c r="D214" i="2"/>
  <c r="D218" i="2"/>
  <c r="D222" i="2"/>
  <c r="D226" i="2"/>
  <c r="D230" i="2"/>
  <c r="D234" i="2"/>
  <c r="D238" i="2"/>
  <c r="D195" i="2"/>
  <c r="D198" i="2"/>
  <c r="D199" i="2"/>
  <c r="D196" i="2"/>
  <c r="D200" i="2"/>
  <c r="D204" i="2"/>
  <c r="D208" i="2"/>
  <c r="D212" i="2"/>
  <c r="D216" i="2"/>
  <c r="D220" i="2"/>
  <c r="D224" i="2"/>
  <c r="D228" i="2"/>
  <c r="D232" i="2"/>
  <c r="D236" i="2"/>
  <c r="D240" i="2"/>
  <c r="D244" i="2"/>
  <c r="D248" i="2"/>
  <c r="D252" i="2"/>
  <c r="D256" i="2"/>
  <c r="D260" i="2"/>
  <c r="D264" i="2"/>
  <c r="D268" i="2"/>
  <c r="D272" i="2"/>
  <c r="D276" i="2"/>
  <c r="D280" i="2"/>
  <c r="D284" i="2"/>
  <c r="D288" i="2"/>
  <c r="D292" i="2"/>
  <c r="D296" i="2"/>
  <c r="D300" i="2"/>
  <c r="D304" i="2"/>
  <c r="D308" i="2"/>
  <c r="D312" i="2"/>
  <c r="D316" i="2"/>
  <c r="D320" i="2"/>
  <c r="D324" i="2"/>
  <c r="D328" i="2"/>
  <c r="D332" i="2"/>
  <c r="D336" i="2"/>
  <c r="D340" i="2"/>
  <c r="D344" i="2"/>
  <c r="D348" i="2"/>
  <c r="D352" i="2"/>
  <c r="D356" i="2"/>
  <c r="D360" i="2"/>
  <c r="D364" i="2"/>
  <c r="D368" i="2"/>
  <c r="D372" i="2"/>
  <c r="D376" i="2"/>
  <c r="D380" i="2"/>
  <c r="D384" i="2"/>
  <c r="D388" i="2"/>
  <c r="D392" i="2"/>
  <c r="D396" i="2"/>
  <c r="D400" i="2"/>
  <c r="D404" i="2"/>
  <c r="D408" i="2"/>
  <c r="D412" i="2"/>
  <c r="D416" i="2"/>
  <c r="D420" i="2"/>
  <c r="D424" i="2"/>
  <c r="D428" i="2"/>
  <c r="D432" i="2"/>
  <c r="D436" i="2"/>
  <c r="D440" i="2"/>
  <c r="D444" i="2"/>
  <c r="D448" i="2"/>
  <c r="D211" i="2"/>
  <c r="D227" i="2"/>
  <c r="D242" i="2"/>
  <c r="D250" i="2"/>
  <c r="D258" i="2"/>
  <c r="D266" i="2"/>
  <c r="D274" i="2"/>
  <c r="D282" i="2"/>
  <c r="D290" i="2"/>
  <c r="D298" i="2"/>
  <c r="D306" i="2"/>
  <c r="D314" i="2"/>
  <c r="D322" i="2"/>
  <c r="D330" i="2"/>
  <c r="D338" i="2"/>
  <c r="D346" i="2"/>
  <c r="D354" i="2"/>
  <c r="D362" i="2"/>
  <c r="D370" i="2"/>
  <c r="D378" i="2"/>
  <c r="D386" i="2"/>
  <c r="D394" i="2"/>
  <c r="D402" i="2"/>
  <c r="D410" i="2"/>
  <c r="D418" i="2"/>
  <c r="D426" i="2"/>
  <c r="D434" i="2"/>
  <c r="D442" i="2"/>
  <c r="D231" i="2"/>
  <c r="D243" i="2"/>
  <c r="D259" i="2"/>
  <c r="D275" i="2"/>
  <c r="D291" i="2"/>
  <c r="D307" i="2"/>
  <c r="D323" i="2"/>
  <c r="D339" i="2"/>
  <c r="D355" i="2"/>
  <c r="D371" i="2"/>
  <c r="D203" i="2"/>
  <c r="D207" i="2"/>
  <c r="D223" i="2"/>
  <c r="D239" i="2"/>
  <c r="D247" i="2"/>
  <c r="D255" i="2"/>
  <c r="D263" i="2"/>
  <c r="D271" i="2"/>
  <c r="D279" i="2"/>
  <c r="D287" i="2"/>
  <c r="D295" i="2"/>
  <c r="D303" i="2"/>
  <c r="D311" i="2"/>
  <c r="D319" i="2"/>
  <c r="D327" i="2"/>
  <c r="D335" i="2"/>
  <c r="D343" i="2"/>
  <c r="D351" i="2"/>
  <c r="D359" i="2"/>
  <c r="D367" i="2"/>
  <c r="D375" i="2"/>
  <c r="D383" i="2"/>
  <c r="D391" i="2"/>
  <c r="D399" i="2"/>
  <c r="D407" i="2"/>
  <c r="D415" i="2"/>
  <c r="D423" i="2"/>
  <c r="D431" i="2"/>
  <c r="D439" i="2"/>
  <c r="D447" i="2"/>
  <c r="D215" i="2"/>
  <c r="D251" i="2"/>
  <c r="D267" i="2"/>
  <c r="D283" i="2"/>
  <c r="D299" i="2"/>
  <c r="D315" i="2"/>
  <c r="D331" i="2"/>
  <c r="D347" i="2"/>
  <c r="D363" i="2"/>
  <c r="D435" i="2"/>
  <c r="D419" i="2"/>
  <c r="D403" i="2"/>
  <c r="D387" i="2"/>
  <c r="D366" i="2"/>
  <c r="D334" i="2"/>
  <c r="D302" i="2"/>
  <c r="D270" i="2"/>
  <c r="D235" i="2"/>
  <c r="D219" i="2"/>
  <c r="D443" i="2"/>
  <c r="D427" i="2"/>
  <c r="D411" i="2"/>
  <c r="D395" i="2"/>
  <c r="D379" i="2"/>
  <c r="D350" i="2"/>
  <c r="D318" i="2"/>
  <c r="D286" i="2"/>
  <c r="D254" i="2"/>
  <c r="D294" i="2"/>
  <c r="D438" i="2"/>
  <c r="D422" i="2"/>
  <c r="D406" i="2"/>
  <c r="D390" i="2"/>
  <c r="D374" i="2"/>
  <c r="D342" i="2"/>
  <c r="D310" i="2"/>
  <c r="D278" i="2"/>
  <c r="D246" i="2"/>
</calcChain>
</file>

<file path=xl/sharedStrings.xml><?xml version="1.0" encoding="utf-8"?>
<sst xmlns="http://schemas.openxmlformats.org/spreadsheetml/2006/main" count="5461" uniqueCount="2707">
  <si>
    <t>District Entity Name</t>
  </si>
  <si>
    <t>District  Entity Number</t>
  </si>
  <si>
    <t>School Entity  Number</t>
  </si>
  <si>
    <t>School Entity Name</t>
  </si>
  <si>
    <t>NCES Code</t>
  </si>
  <si>
    <t xml:space="preserve">Percentage of Directly Certified Students for CEP </t>
  </si>
  <si>
    <t>Annex Name (DO NOT ENTER DATA IN COLUMNS I-N)</t>
  </si>
  <si>
    <t>BROWARD</t>
  </si>
  <si>
    <t>ANNABEL C. PERRY ELEMENTARY</t>
  </si>
  <si>
    <t>APOLLO MIDDLE SCHOOL</t>
  </si>
  <si>
    <t>ATLANTIC TECHNICAL COLLEGE</t>
  </si>
  <si>
    <t>ATLANTIC WEST ELEMENTARY SCHOOL</t>
  </si>
  <si>
    <t>ATTUCKS MIDDLE SCHOOL</t>
  </si>
  <si>
    <t>BAIR MIDDLE SCHOOL</t>
  </si>
  <si>
    <t>BANYAN ELEMENTARY SCHOOL</t>
  </si>
  <si>
    <t>BAYVIEW ELEMENTARY SCHOOL</t>
  </si>
  <si>
    <t>BEACHSIDE MONTESSORI VILLAGE</t>
  </si>
  <si>
    <t>BECON</t>
  </si>
  <si>
    <t>BENNETT ELEMENTARY SCHOOL</t>
  </si>
  <si>
    <t>BETHUNE MARY M ELEMENTARY SCHOOL</t>
  </si>
  <si>
    <t>BLANCHE ELY HIGH SCHOOL</t>
  </si>
  <si>
    <t>BOULEVARD HEIGHTS ELEMENTARY</t>
  </si>
  <si>
    <t>BOYD H. ANDERSON HIGH SCHOOL</t>
  </si>
  <si>
    <t>BRIGHT HORIZONS</t>
  </si>
  <si>
    <t>BROADVIEW ELEMENTARY SCHOOL</t>
  </si>
  <si>
    <t>BROWARD ESTATES ELEMENTARY SCHOOL</t>
  </si>
  <si>
    <t>C. ROBERT MARKHAM ELEMENTARY</t>
  </si>
  <si>
    <t>CASTLE HILL ELEMENTARY SCHOOL</t>
  </si>
  <si>
    <t>CENTRAL PARK ELEMENTARY SCHOOL</t>
  </si>
  <si>
    <t>CENTRAL/WEST AREA TRANSPORTATION</t>
  </si>
  <si>
    <t>CHALLENGER ELEMENTARY SCHOOL</t>
  </si>
  <si>
    <t>CHAPEL TRAIL ELEMENTARY SCHOOL</t>
  </si>
  <si>
    <t>CHARLES DREW ELEMENTARY SCHOOL</t>
  </si>
  <si>
    <t>CHARLES W FLANAGAN HIGH SCHOOL</t>
  </si>
  <si>
    <t>COCONUT CREEK ELEMENTARY SCHOOL</t>
  </si>
  <si>
    <t>COCONUT CREEK HIGH SCHOOL</t>
  </si>
  <si>
    <t>COCONUT PALM ELEMENTARY SCHOOL</t>
  </si>
  <si>
    <t>COLBERT ELEMENTARY SCHOOL</t>
  </si>
  <si>
    <t>COLLINS ELEMENTARY SCHOOL</t>
  </si>
  <si>
    <t>COMMUNITY SCHOOLS NORTH (FORT LAUD ANNEX)</t>
  </si>
  <si>
    <t>COMMUNITY SCHOOLS SOUTH (NEW RIVER CIRCLE)</t>
  </si>
  <si>
    <t>COOPER CITY ELEMENTARY SCHOOL</t>
  </si>
  <si>
    <t>COOPER CITY HIGH SCHOOL</t>
  </si>
  <si>
    <t>CORAL COVE ELEMENTARY SCHOOL</t>
  </si>
  <si>
    <t>CORAL GLADES HIGH SCHOOL</t>
  </si>
  <si>
    <t>CORAL PARK ELEMENTARY SCHOOL</t>
  </si>
  <si>
    <t>CORAL SPRINGS ELEMENTARY SCHOOL</t>
  </si>
  <si>
    <t>CORAL SPRINGS HIGH SCHOOL</t>
  </si>
  <si>
    <t>CORAL SPRINGS MIDDLE SCHOOL</t>
  </si>
  <si>
    <t>COUNTRY HILLS ELEMENTARY SCHOOL</t>
  </si>
  <si>
    <t>COUNTRY ISLES ELEMENTARY SCHOOL</t>
  </si>
  <si>
    <t>CRESTHAVEN ELEMENTARY SCHOOL</t>
  </si>
  <si>
    <t>CROISSANT PARK ELEMENTARY SCHOOL</t>
  </si>
  <si>
    <t>CROSS CREEK SCHOOL</t>
  </si>
  <si>
    <t>CRYSTAL LAKE COMMUNITY MIDDLE</t>
  </si>
  <si>
    <t>CYPRESS BAY HIGH SCHOOL</t>
  </si>
  <si>
    <t>CYPRESS ELEMENTARY SCHOOL</t>
  </si>
  <si>
    <t>CYPRESS RUN ALTERNATIVE/ESE</t>
  </si>
  <si>
    <t>DANIA ELEMENTARY SCHOOL</t>
  </si>
  <si>
    <t>DAVE THOMAS EAST</t>
  </si>
  <si>
    <t>DAVE THOMAS EDUCATION CENTER</t>
  </si>
  <si>
    <t>DAVIE ELEMENTARY SCHOOL</t>
  </si>
  <si>
    <t>DEERFIELD BEACH ELEMENTARY SCHOOL</t>
  </si>
  <si>
    <t>DEERFIELD BEACH HIGH SCHOOL</t>
  </si>
  <si>
    <t>DEERFIELD BEACH MIDDLE SCHOOL</t>
  </si>
  <si>
    <t>DEERFIELD PARK ELEMENTARY SCHOOL</t>
  </si>
  <si>
    <t>DILLARD  6-12</t>
  </si>
  <si>
    <t>DILLARD ELEMENTARY SCHOOL</t>
  </si>
  <si>
    <t>DISCOVERY ELEMENTARY SCHOOL</t>
  </si>
  <si>
    <t>DOLPHIN BAY ELEMENTARY SCHOOL</t>
  </si>
  <si>
    <t>DRIFTWOOD ELEMENTARY SCHOOL</t>
  </si>
  <si>
    <t>DRIFTWOOD MIDDLE SCHOOL</t>
  </si>
  <si>
    <t>EAGLE POINT ELEMENTARY SCHOOL</t>
  </si>
  <si>
    <t>EAGLE RIDGE ELEMENTARY SCHOOL</t>
  </si>
  <si>
    <t>Edgewood Administrative Complex</t>
  </si>
  <si>
    <t>EMBASSY CREEK ELEMENTARY SCHOOL</t>
  </si>
  <si>
    <t>ENDEAVOUR PRIMARY LEARNING CENTER</t>
  </si>
  <si>
    <t>EVERGLADES ELEMENTARY SCHOOL</t>
  </si>
  <si>
    <t>EVERGLADES HIGH SCHOOL</t>
  </si>
  <si>
    <t>FAIRWAY ELEMENTARY SCHOOL</t>
  </si>
  <si>
    <t>FALCON COVE MIDDLE SCHOOL</t>
  </si>
  <si>
    <t>FLAMINGO ELEMENTARY SCHOOL</t>
  </si>
  <si>
    <t>FLORANADA ELEMENTARY SCHOOL</t>
  </si>
  <si>
    <t>FOREST GLEN MIDDLE SCHOOL</t>
  </si>
  <si>
    <t>FOREST HILLS ELEMENTARY SCHOOL</t>
  </si>
  <si>
    <t>FORT LAUDERDALE HIGH SCHOOL</t>
  </si>
  <si>
    <t>FOX TRAIL ELEMENTARY SCHOOL</t>
  </si>
  <si>
    <t>GATOR RUN ELEMENTARY SCHOOL</t>
  </si>
  <si>
    <t>GLADES MIDDLE SCHOOL</t>
  </si>
  <si>
    <t>GRIFFIN ELEMENTARY SCHOOL</t>
  </si>
  <si>
    <t>GULFSTREAM MIDDLE SCHOOL</t>
  </si>
  <si>
    <t>HALLANDALE ADULT/COMMUNITY CENTER</t>
  </si>
  <si>
    <t>HALLANDALE ELEMENTARY SCHOOL</t>
  </si>
  <si>
    <t>HALLANDALE HIGH SCHOOL</t>
  </si>
  <si>
    <t>HARBORDALE ELEMENTARY SCHOOL</t>
  </si>
  <si>
    <t>HAWKES BLUFF ELEMENTARY SCHOOL</t>
  </si>
  <si>
    <t>HENRY D. PERRY MIDDLE SCHOOL</t>
  </si>
  <si>
    <t>HERON HEIGHTS ELEMENTARY SCHOOL</t>
  </si>
  <si>
    <t>HOLLYWOOD CENTRAL ELEMENTARY SCHOOL</t>
  </si>
  <si>
    <t>HOLLYWOOD HILLS ELEMENTARY SCHOOL</t>
  </si>
  <si>
    <t>HOLLYWOOD HILLS HIGH SCHOOL</t>
  </si>
  <si>
    <t>HOLLYWOOD PARK ELEMENTARY SCHOOL</t>
  </si>
  <si>
    <t>HORIZON ELEMENTARY SCHOOL</t>
  </si>
  <si>
    <t>INDIAN RIDGE MIDDLE SCHOOL</t>
  </si>
  <si>
    <t>INDIAN TRACE ELEMENTARY SCHOOL</t>
  </si>
  <si>
    <t>J. P. TARAVELLA HIGH SCHOOL</t>
  </si>
  <si>
    <t>JAMES S. HUNT ELEMENTARY SCHOOL</t>
  </si>
  <si>
    <t>JAMES S. RICKARDS MIDDLE SCHOOL</t>
  </si>
  <si>
    <t>KC Wright Building</t>
  </si>
  <si>
    <t>LAKE FOREST ELEMENTARY SCHOOL</t>
  </si>
  <si>
    <t>LAKESIDE ELEMENTARY SCHOOL</t>
  </si>
  <si>
    <t>LANIER-JAMES EDUCATION CENTER</t>
  </si>
  <si>
    <t>LARKDALE ELEMENTARY SCHOOL</t>
  </si>
  <si>
    <t>LAUDERDALE LAKES MIDDLE SCHOOL</t>
  </si>
  <si>
    <t>LAUDERDALE MANORS EARLY LEARNING &amp; RESOURCE CENTER</t>
  </si>
  <si>
    <t>LAUDERHILL 6-12</t>
  </si>
  <si>
    <t>LAUDERHILL PAUL TURNER ELEMENTARY SCHOOL</t>
  </si>
  <si>
    <t>LIBERTY ELEMENTARY SCHOOL</t>
  </si>
  <si>
    <t>LLOYD ESTATES ELEMENTARY SCHOOL</t>
  </si>
  <si>
    <t>LYONS CREEK MIDDLE SCHOOL</t>
  </si>
  <si>
    <t>MANATEE BAY ELEMENTARY SCHOOL</t>
  </si>
  <si>
    <t>MAPLEWOOD ELEMENTARY SCHOOL</t>
  </si>
  <si>
    <t>MARGATE ELEMENTARY SCHOOL</t>
  </si>
  <si>
    <t>MARGATE MIDDLE SCHOOL</t>
  </si>
  <si>
    <t>MARJORY STONEMAN DOUGLAS HIGH SCHOOL</t>
  </si>
  <si>
    <t>MARTIN LUTHER KING ELEMENTARY SCHOOL</t>
  </si>
  <si>
    <t>MCARTHUR HIGH SCHOOL</t>
  </si>
  <si>
    <t>MCNAB ELEMENTARY SCHOOL</t>
  </si>
  <si>
    <t>MCNICOL MIDDLE SCHOOL</t>
  </si>
  <si>
    <t>MEADOWBROOK ELEMENTARY SCHOOL</t>
  </si>
  <si>
    <t>MILLENNIUM MIDDLE SCHOOL</t>
  </si>
  <si>
    <t>MIRAMAR ELEMENTARY SCHOOL</t>
  </si>
  <si>
    <t>MIRAMAR HIGH SCHOOL</t>
  </si>
  <si>
    <t>MIRROR LAKE ELEMENTARY SCHOOL</t>
  </si>
  <si>
    <t>MONARCH HIGH SCHOOL</t>
  </si>
  <si>
    <t>MORROW ELEMENTARY SCHOOL</t>
  </si>
  <si>
    <t>NEW RENAISSANCE MIDDLE SCHOOL</t>
  </si>
  <si>
    <t>NEW RIVER MIDDLE SCHOOL</t>
  </si>
  <si>
    <t>NOB HILL ELEMENTARY SCHOOL</t>
  </si>
  <si>
    <t>NORCREST ELEMENTARY SCHOOL</t>
  </si>
  <si>
    <t>NORTH ANDREWS GARDENS ELEMENTARY SCHOOL</t>
  </si>
  <si>
    <t>North Area Transportation</t>
  </si>
  <si>
    <t>NORTH FORK ELEMENTARY SCHOOL</t>
  </si>
  <si>
    <t>NORTH LAUDERDALE ELEMENTARY</t>
  </si>
  <si>
    <t>NORTH SIDE ELEMENTARY SCHOOL</t>
  </si>
  <si>
    <t>NORTHEAST HIGH SCHOOL</t>
  </si>
  <si>
    <t>Northwest Area Transportation</t>
  </si>
  <si>
    <t>NOVA BLANCHE FORMAN ELEMENTARY</t>
  </si>
  <si>
    <t>NOVA DWIGHT D. EISENHOWER ELEM</t>
  </si>
  <si>
    <t>NOVA HIGH SCHOOL</t>
  </si>
  <si>
    <t>NOVA MIDDLE SCHOOL</t>
  </si>
  <si>
    <t>OAKLAND PARK ELEMENTARY SCHOOL</t>
  </si>
  <si>
    <t>OAKRIDGE ELEMENTARY SCHOOL</t>
  </si>
  <si>
    <t>OLSEN MIDDLE SCHOOL</t>
  </si>
  <si>
    <t>ORANGE BROOK ELEMENTARY SCHOOL</t>
  </si>
  <si>
    <t>ORIOLE ELEMENTARY SCHOOL</t>
  </si>
  <si>
    <t>PALM COVE ELEMENTARY SCHOOL</t>
  </si>
  <si>
    <t>PALMVIEW ELEMENTARY SCHOOL</t>
  </si>
  <si>
    <t>PANTHER RUN ELEMENTARY SCHOOL</t>
  </si>
  <si>
    <t>PARK LAKES ELEMENTARY SCHOOL</t>
  </si>
  <si>
    <t>PARK RIDGE ELEMENTARY SCHOOL</t>
  </si>
  <si>
    <t>PARK SPRINGS ELEMENTARY SCHOOL</t>
  </si>
  <si>
    <t>PARK TRAILS ELEMENTARY SCHOOL</t>
  </si>
  <si>
    <t>PARKSIDE ELEMENTARY SCHOOL</t>
  </si>
  <si>
    <t>PARKWAY MIDDLE SCHOOL</t>
  </si>
  <si>
    <t>PASADENA LAKES ELEMENTARY SCHOOL</t>
  </si>
  <si>
    <t>PEMBROKE LAKES ELEMENTARY SCHOOL</t>
  </si>
  <si>
    <t>PEMBROKE PINES ELEMENTARY SCHOOL</t>
  </si>
  <si>
    <t>PETERS ELEMENTARY SCHOOL</t>
  </si>
  <si>
    <t>Physical Plant Operations-Zone 1</t>
  </si>
  <si>
    <t>Physical Plant Operations-Zone 2</t>
  </si>
  <si>
    <t>Physical Plant Operations-Zone 3</t>
  </si>
  <si>
    <t>Physical Plant Operations-Zone 4</t>
  </si>
  <si>
    <t>PINE RIDGE ALTERNATIVE CENTER</t>
  </si>
  <si>
    <t>PINES LAKES ELEMENTARY SCHOOL</t>
  </si>
  <si>
    <t>PINES MIDDLE SCHOOL</t>
  </si>
  <si>
    <t>PINEWOOD ELEMENTARY SCHOOL</t>
  </si>
  <si>
    <t>PIONEER MIDDLE SCHOOL</t>
  </si>
  <si>
    <t>PIPER HIGH SCHOOL</t>
  </si>
  <si>
    <t>PLANTATION ELEMENTARY SCHOOL</t>
  </si>
  <si>
    <t>PLANTATION HIGH SCHOOL</t>
  </si>
  <si>
    <t>PLANTATION MIDDLE SCHOOL</t>
  </si>
  <si>
    <t>PLANTATION PARK ELEMENTARY</t>
  </si>
  <si>
    <t>Pompano Admin Center</t>
  </si>
  <si>
    <t>POMPANO BEACH ELEMENTARY SCHOOL</t>
  </si>
  <si>
    <t>POMPANO BEACH HIGH SCHOOL</t>
  </si>
  <si>
    <t>POMPANO BEACH MIDDLE SCHOOL</t>
  </si>
  <si>
    <t>QUIET WATERS ELEMENTARY SCHOOL</t>
  </si>
  <si>
    <t>RAMBLEWOOD ELEMENTARY SCHOOL</t>
  </si>
  <si>
    <t>RAMBLEWOOD MIDDLE SCHOOL</t>
  </si>
  <si>
    <t>RIVERGLADES ELEMENTARY SCHOOL</t>
  </si>
  <si>
    <t>RIVERLAND ELEMENTARY SCHOOL</t>
  </si>
  <si>
    <t>RIVERSIDE ELEMENTARY SCHOOL</t>
  </si>
  <si>
    <t>Rock Island Development Center</t>
  </si>
  <si>
    <t>ROCK ISLAND ELEMENTARY SCHOOL</t>
  </si>
  <si>
    <t>ROYAL PALM ELEMENTARY SCHOOL</t>
  </si>
  <si>
    <t>SANDERS PARK ELEMENTARY SCHOOL</t>
  </si>
  <si>
    <t>SANDPIPER ELEMENTARY SCHOOL</t>
  </si>
  <si>
    <t>SAWGRASS ELEMENTARY SCHOOL</t>
  </si>
  <si>
    <t>SAWGRASS SPRINGS MIDDLE SCHOOL</t>
  </si>
  <si>
    <t>SEA CASTLE ELEMENTARY SCHOOL</t>
  </si>
  <si>
    <t>SEAGULL SCHOOL</t>
  </si>
  <si>
    <t>SEMINOLE MIDDLE SCHOOL</t>
  </si>
  <si>
    <t>SHERIDAN HILLS ELEMENTARY SCHOOL</t>
  </si>
  <si>
    <t>SHERIDAN PARK ELEMENTARY SCHOOL</t>
  </si>
  <si>
    <t>SHERIDAN TECHNICAL COLLEGE</t>
  </si>
  <si>
    <t>SILVER LAKES ELEMENTARY SCHOOL</t>
  </si>
  <si>
    <t>SILVER LAKES MIDDLE SCHOOL</t>
  </si>
  <si>
    <t>SILVER PALMS ELEMENTARY SCHOOL</t>
  </si>
  <si>
    <t>SILVER RIDGE ELEMENTARY SCHOOL</t>
  </si>
  <si>
    <t>SILVER SHORES ELEMENTARY SCHOOL</t>
  </si>
  <si>
    <t>SILVER TRAIL MIDDLE SCHOOL</t>
  </si>
  <si>
    <t>South Area Admin at Pines Annex</t>
  </si>
  <si>
    <t>South Area Transportation</t>
  </si>
  <si>
    <t>SOUTH BROWARD HIGH SCHOOL</t>
  </si>
  <si>
    <t>SOUTH PLANTATION HIGH SCHOOL</t>
  </si>
  <si>
    <t>STEPHEN FOSTER ELEMENTARY SCHOOL</t>
  </si>
  <si>
    <t>STIRLING ELEMENTARY SCHOOL</t>
  </si>
  <si>
    <t>STRANAHAN HIGH SCHOOL</t>
  </si>
  <si>
    <t>SUNLAND PARK ACADEMY</t>
  </si>
  <si>
    <t>SUNRISE MIDDLE SCHOOL</t>
  </si>
  <si>
    <t>SUNSET LAKES ELEMENTARY SCHOOL</t>
  </si>
  <si>
    <t>SUNSHINE ELEMENTARY SCHOOL</t>
  </si>
  <si>
    <t>Talent Development (HRD)</t>
  </si>
  <si>
    <t>TAMARAC ELEMENTARY SCHOOL</t>
  </si>
  <si>
    <t>Technology and Support Service Center</t>
  </si>
  <si>
    <t>TEDDER ELEMENTARY SCHOOL</t>
  </si>
  <si>
    <t>TEQUESTA TRACE MIDDLE SCHOOL</t>
  </si>
  <si>
    <t>THE QUEST CENTER</t>
  </si>
  <si>
    <t>THURGOOD MARSHALL ELEMENTARY SCHOOL</t>
  </si>
  <si>
    <t>Title One ESEA</t>
  </si>
  <si>
    <t>TRADEWINDS ELEMENTARY SCHOOL</t>
  </si>
  <si>
    <t>Transportation Services Training Center</t>
  </si>
  <si>
    <t>TROPICAL ELEMENTARY SCHOOL</t>
  </si>
  <si>
    <t>TSSC Annex</t>
  </si>
  <si>
    <t>Twin Lakes Administration Center</t>
  </si>
  <si>
    <t>Twin Lakes East (District Maintenance)</t>
  </si>
  <si>
    <t>Twin Lakes West</t>
  </si>
  <si>
    <t>VILLAGE ELEMENTARY SCHOOL</t>
  </si>
  <si>
    <t>VIRGINIA SHUMAN YOUNG ELEMENTARY SCHOOL</t>
  </si>
  <si>
    <t>WALKER ELEMENTARY SCHOOL (MAGNET)</t>
  </si>
  <si>
    <t>WALTER C. YOUNG MIDDLE SCHOOL</t>
  </si>
  <si>
    <t>WATKINS ELEMENTARY SCHOOL</t>
  </si>
  <si>
    <t>WELLEBY ELEMENTARY SCHOOL</t>
  </si>
  <si>
    <t>WEST BROWARD HIGH SCHOOL</t>
  </si>
  <si>
    <t>WEST HOLLYWOOD ELEMENTARY SCHOOL</t>
  </si>
  <si>
    <t>WESTCHESTER ELEMENTARY SCHOOL</t>
  </si>
  <si>
    <t>WESTERN HIGH SCHOOL</t>
  </si>
  <si>
    <t>WESTGLADES MIDDLE SCHOOL</t>
  </si>
  <si>
    <t>WESTPINE MIDDLE SCHOOL</t>
  </si>
  <si>
    <t>WESTWOOD HEIGHTS ELEMENTARY SCHOOL</t>
  </si>
  <si>
    <t>WHIDDON RODGERS EDUCATION CENTER</t>
  </si>
  <si>
    <t>WHISPERING PINES SCHOOL</t>
  </si>
  <si>
    <t>WILLIAM DANDY MIDDLE SCHOOL</t>
  </si>
  <si>
    <t>WILLIAM T. MCFATTER TECHNICAL COLLEGE</t>
  </si>
  <si>
    <t>WILTON MANORS ELEMENTARY SCHOOL</t>
  </si>
  <si>
    <t>WINGATE OAKS CENTER</t>
  </si>
  <si>
    <t>WINSTON PARK ELEMENTARY SCHOOL</t>
  </si>
  <si>
    <t>Drew Resource Center</t>
  </si>
  <si>
    <t>Park Lakes Annex</t>
  </si>
  <si>
    <t>Hallandale OCLC</t>
  </si>
  <si>
    <t>Atlantic Tech High at Ashe Center</t>
  </si>
  <si>
    <t>Sheridan Tech High at Sunsent Center</t>
  </si>
  <si>
    <t>Sheridan Tech High West</t>
  </si>
  <si>
    <t>0</t>
  </si>
  <si>
    <t>COLUMBIA</t>
  </si>
  <si>
    <t>COLUMBIA CITY ELEMENTARY SCHOOL</t>
  </si>
  <si>
    <t>COLUMBIA HIGH SCHOOL</t>
  </si>
  <si>
    <t>Dade</t>
  </si>
  <si>
    <t>AIR BASE K-8 CENTER FOR INTERNATIONAL EDUCATION</t>
  </si>
  <si>
    <t>EUGENIA B. THOMAS K-8 CENTER</t>
  </si>
  <si>
    <t>MANDARIN LAKES K-8 ACADEMY</t>
  </si>
  <si>
    <t>LENORA BRAYNON SMITH ELEMENTARY</t>
  </si>
  <si>
    <t>BOB GRAHAM EDUCATION CENTER</t>
  </si>
  <si>
    <t>NORMAN S. EDELCUP/SUNNY ISLES BEACH K-8</t>
  </si>
  <si>
    <t>ARCOLA LAKE ELEMENTARY SCHOOL</t>
  </si>
  <si>
    <t>MAYA ANGELOU ELEMENTARY SCHOOL</t>
  </si>
  <si>
    <t>AUBURNDALE ELEMENTARY SCHOOL</t>
  </si>
  <si>
    <t>DR. ROLANDO ESPINOSA K-8 CENTER</t>
  </si>
  <si>
    <t xml:space="preserve">  </t>
  </si>
  <si>
    <t>NORMA BUTLER BOSSARD ELEMENTARY SCHOOL</t>
  </si>
  <si>
    <t>AVOCADO ELEMENTARY SCHOOL</t>
  </si>
  <si>
    <t>DR. MANUEL C. BARREIRO ELEMENTARY SCHOOL</t>
  </si>
  <si>
    <t>AVENTURA WATERWAYS K-8 CENTER</t>
  </si>
  <si>
    <t>RUTH K. BROAD BAY HARBOR K-8 CENTER</t>
  </si>
  <si>
    <t>ETHEL KOGER BECKHAM ELEMENTARY</t>
  </si>
  <si>
    <t>BEL-AIRE ELEMENTARY SCHOOL</t>
  </si>
  <si>
    <t>BENT TREE ELEMENTARY SCHOOL</t>
  </si>
  <si>
    <t>GOULDS ELEMENTARY SCHOOL</t>
  </si>
  <si>
    <t>BISCAYNE ELEMENTARY SCHOOL</t>
  </si>
  <si>
    <t>CHAPMAN PARTNERSHIP EARLY CHILDHOOD CENTER N</t>
  </si>
  <si>
    <t>ARCHCREEK ELEMENTARY SCHOOL</t>
  </si>
  <si>
    <t>CHAPMAN PARTNERSHIP EARLY CHILDHOOD CENTER SOUTH</t>
  </si>
  <si>
    <t>BISCAYNE GARDENS ELEMENTARY</t>
  </si>
  <si>
    <t>VAN E. BLANTON ELEMENTARY SCHOOL</t>
  </si>
  <si>
    <t>BLUE LAKES ELEMENTARY SCHOOL</t>
  </si>
  <si>
    <t>BOWMAN ASHE/DOOLIN K-8 ACADEMY</t>
  </si>
  <si>
    <t>BRENTWOOD ELEMENTARY SCHOOL</t>
  </si>
  <si>
    <t>JAMES H. BRIGHT ELEMENTARY/J.W. JOHNSON ELEMENTARY</t>
  </si>
  <si>
    <t>BROADMOOR ELEMENTARY SCHOOL</t>
  </si>
  <si>
    <t>W. J. BRYAN ELEMENTARY</t>
  </si>
  <si>
    <t>BUNCHE PARK ELEMENTARY SCHOOL</t>
  </si>
  <si>
    <t>CAMPBELL DRIVE K-8 CENTER</t>
  </si>
  <si>
    <t>CARIBBEAN ELEMENTARY SCHOOL</t>
  </si>
  <si>
    <t>CALUSA ELEMENTARY SCHOOL</t>
  </si>
  <si>
    <t>CAROL CITY ELEMENTARY SCHOOL</t>
  </si>
  <si>
    <t>GEORGE W. CARVER ELEMENTARY SCHOOL</t>
  </si>
  <si>
    <t>FIENBERG/FISHER K-8 CENTER</t>
  </si>
  <si>
    <t>DR. WILLIAM A. CHAPMAN ELEMENTARY SCHOOL</t>
  </si>
  <si>
    <t>CITRUS GROVE ELEMENTARY SCHOOL</t>
  </si>
  <si>
    <t>CLAUDE PEPPER ELEMENTARY SCHOOL</t>
  </si>
  <si>
    <t>COCONUT GROVE ELEMENTARY SCHOOL</t>
  </si>
  <si>
    <t>COLONIAL DRIVE ELEMENTARY SCHOOL</t>
  </si>
  <si>
    <t>COMSTOCK ELEMENTARY SCHOOL</t>
  </si>
  <si>
    <t>NEVA KING COOPER EDUCATIONAL CENTER</t>
  </si>
  <si>
    <t>CORAL GABLES PREPARATORY ACADEMY</t>
  </si>
  <si>
    <t>CORAL REEF ELEMENTARY SCHOOL</t>
  </si>
  <si>
    <t>SOUTH FLORIDA AUTISM CHARTER SCHOOL INC</t>
  </si>
  <si>
    <t>CORAL TERRACE ELEMENTARY SCHOOL</t>
  </si>
  <si>
    <t>CORAL WAY K-8 CENTER</t>
  </si>
  <si>
    <t>CRESTVIEW ELEMENTARY SCHOOL</t>
  </si>
  <si>
    <t>CUTLER RIDGE ELEMENTARY SCHOOL</t>
  </si>
  <si>
    <t>DEVON AIRE K-8 CENTER</t>
  </si>
  <si>
    <t>FREDERICK R. DOUGLASS ELEMENTARY</t>
  </si>
  <si>
    <t>MARJORY STONEMAN DOUGLAS ELEM</t>
  </si>
  <si>
    <t>CHARLES R DREW K-8 CENTER</t>
  </si>
  <si>
    <t>PAUL LAURENCE DUNBAR K-8 CENTER</t>
  </si>
  <si>
    <t>JOHN G. DUPUIS ELEMENTARY SCHOOL</t>
  </si>
  <si>
    <t>AMELIA EARHART ELEMENTARY SCHOOL</t>
  </si>
  <si>
    <t>EARLINGTON HEIGHTS ELEMENTARY SCHOOL</t>
  </si>
  <si>
    <t>EDISON PARK K-8 CENTER</t>
  </si>
  <si>
    <t>EMERSON ELEMENTARY SCHOOL</t>
  </si>
  <si>
    <t>LILLIE C. EVANS K-8 CENTER</t>
  </si>
  <si>
    <t>CHRISTINA M. EVE ELEMENTARY SCHOOL</t>
  </si>
  <si>
    <t>EVERGLADES K-8 CENTER</t>
  </si>
  <si>
    <t>DAVID FAIRCHILD ELEMENTARY SCHOOL</t>
  </si>
  <si>
    <t>FAIRLAWN ELEMENTARY SCHOOL</t>
  </si>
  <si>
    <t>DANTE B. FASCELL ELEMENTARY SCHOOL</t>
  </si>
  <si>
    <t>FLAGAMI ELEMENTARY SCHOOL</t>
  </si>
  <si>
    <t>HENRY M. FLAGLER ELEMENTARY SCHOOL</t>
  </si>
  <si>
    <t>FLORIDA CITY ELEMENTARY SCHOOL</t>
  </si>
  <si>
    <t>GLORIA FLOYD ELEMENTARY SCHOOL</t>
  </si>
  <si>
    <t>BENJAMIN FRANKLIN K-8 CENTER</t>
  </si>
  <si>
    <t>FULFORD ELEMENTARY SCHOOL</t>
  </si>
  <si>
    <t>HIALEAH GARDENS ELEMENTARY SCHOOL</t>
  </si>
  <si>
    <t>JACK DAVID GORDON ELEMENTARY SCHOOL</t>
  </si>
  <si>
    <t>GOLDEN GLADES ELEMENTARY SCHOOL</t>
  </si>
  <si>
    <t>JOELLA GOOD ELEMENTARY SCHOOL</t>
  </si>
  <si>
    <t>SPANISH LAKE ELEMENTARY SCHOOL</t>
  </si>
  <si>
    <t>GRATIGNY ELEMENTARY SCHOOL</t>
  </si>
  <si>
    <t>GREENGLADE ELEMENTARY SCHOOL</t>
  </si>
  <si>
    <t>GREYNOLDS PARK ELEMENTARY SCHOOL</t>
  </si>
  <si>
    <t>GULFSTREAM ELEMENTARY SCHOOL</t>
  </si>
  <si>
    <t>CHARLES R HADLEY ELEMENTARY SCHOOL</t>
  </si>
  <si>
    <t>JOE HALL ELEMENTARY SCHOOL</t>
  </si>
  <si>
    <t>ENEIDA M. HARTNER ELEMENTARY SCHOOL</t>
  </si>
  <si>
    <t>HIALEAH ELEMENTARY SCHOOL</t>
  </si>
  <si>
    <t>WEST HIALEAH GARDENS ELEMENTARY SCHOOL</t>
  </si>
  <si>
    <t>HIBISCUS ELEMENTARY SCHOOL</t>
  </si>
  <si>
    <t>VIRGINIA A BOONE-HIGHLAND OAKS SCHOOL</t>
  </si>
  <si>
    <t>HOLMES ELEMENTARY SCHOOL</t>
  </si>
  <si>
    <t>ZORA NEALE HURSTON ELEMENTARY SCHOOL</t>
  </si>
  <si>
    <t>OLIVER HOOVER ELEMENTARY SCHOOL</t>
  </si>
  <si>
    <t>THENA CROWDER EARLY CHILDHOOD DIAGNOSTIC SPECIAL EDUCATION CENTER</t>
  </si>
  <si>
    <t>HOWARD DRIVE ELEMENTARY SCHOOL</t>
  </si>
  <si>
    <t>MADIE IVES COMMUNITY ELEMENTARY SCHOOL</t>
  </si>
  <si>
    <t>KENDALE ELEMENTARY SCHOOL</t>
  </si>
  <si>
    <t>KENDALE LAKES ELEMENTARY SCHOOL</t>
  </si>
  <si>
    <t>KENSINGTON PARK ELEMENTARY SCHOOL</t>
  </si>
  <si>
    <t>KENWOOD K-8 CENTER</t>
  </si>
  <si>
    <t>KEY BISCAYNE K-8 CENTER</t>
  </si>
  <si>
    <t>KINLOCH PARK ELEMENTARY SCHOOL</t>
  </si>
  <si>
    <t>LAKE STEVENS ELEMENTARY SCHOOL</t>
  </si>
  <si>
    <t>LAKEVIEW ELEMENTARY SCHOOL</t>
  </si>
  <si>
    <t>LEEWOOD K-8 CENTER</t>
  </si>
  <si>
    <t>WILLIAM H. LEHMAN ELEMENTARY SCHOOL</t>
  </si>
  <si>
    <t>LEISURE CITY K-8 CENTER</t>
  </si>
  <si>
    <t>LINDA LENTIN K-8 CENTER</t>
  </si>
  <si>
    <t>LAURA C. SAUNDERS ELEMENTARY SCHOOL</t>
  </si>
  <si>
    <t>LIBERTY CITY ELEMENTARY SCHOOL</t>
  </si>
  <si>
    <t>JESSE J. MCCRARY, JR. ELEMENTARY SCHOOL</t>
  </si>
  <si>
    <t>LORAH PARK ELEMENTARY SCHOOL</t>
  </si>
  <si>
    <t>TOUSSAINT L'OUVERTURE ELEMENTARY</t>
  </si>
  <si>
    <t>LUDLAM ELEMENTARY SCHOOL</t>
  </si>
  <si>
    <t>FRANK CRAWFORD MARTIN K-8 CENTER</t>
  </si>
  <si>
    <t>WESLEY MATTHEWS ELEMENTARY SCHOOL</t>
  </si>
  <si>
    <t>MEADOWLANE ELEMENTARY SCHOOL</t>
  </si>
  <si>
    <t>MELROSE ELEMENTARY SCHOOL</t>
  </si>
  <si>
    <t>ADA MERRITT K-8 CENTER</t>
  </si>
  <si>
    <t>MIAMI GARDENS ELEMENTARY SCHOOL</t>
  </si>
  <si>
    <t>MIAMI HEIGHTS ELEMENTARY SCHOOL</t>
  </si>
  <si>
    <t>MIAMI LAKES K-8 CENTER</t>
  </si>
  <si>
    <t>MIAMI PARK ELEMENTARY SCHOOL</t>
  </si>
  <si>
    <t>MIAMI SHORES ELEMENTARY SCHOOL</t>
  </si>
  <si>
    <t>MIAMI SPRINGS ELEMENTARY SCHOOL</t>
  </si>
  <si>
    <t>MARCUS A. MILAM K-8 CENTER</t>
  </si>
  <si>
    <t>PHYLLIS R. MILLER ELEMENTARY SCHOOL</t>
  </si>
  <si>
    <t>MORNINGSIDE K-8 ACADEMY</t>
  </si>
  <si>
    <t>ROBERT RUSSA MOTON ELEMENTARY SCHOOL</t>
  </si>
  <si>
    <t>MYRTLE GROVE K-8 CENTER</t>
  </si>
  <si>
    <t>NATURAL BRIDGE ELEMENTARY SCHOOL</t>
  </si>
  <si>
    <t>NORLAND ELEMENTARY SCHOOL</t>
  </si>
  <si>
    <t>NORTH BEACH ELEMENTARY SCHOOL</t>
  </si>
  <si>
    <t>BARBARA HAWKINS ELEMENTARY SCHOOL</t>
  </si>
  <si>
    <t>NORTH COUNTY K-8 CENTER</t>
  </si>
  <si>
    <t>NORTH GLADE ELEMENTARY SCHOOL</t>
  </si>
  <si>
    <t>NORTH HIALEAH ELEMENTARY SCHOOL</t>
  </si>
  <si>
    <t>NORTH MIAMI ELEMENTARY SCHOOL</t>
  </si>
  <si>
    <t>NORTH TWIN LAKES ELEMENTARY SCHOOL</t>
  </si>
  <si>
    <t>NORWOOD ELEMENTARY SCHOOL</t>
  </si>
  <si>
    <t>BEACON COLLEGE PREPARATORY</t>
  </si>
  <si>
    <t>OAK GROVE ELEMENTARY SCHOOL</t>
  </si>
  <si>
    <t>GATEWAY ENVIRONMENTAL K-8 LEARNING CENTER</t>
  </si>
  <si>
    <t>OJUS ELEMENTARY SCHOOL</t>
  </si>
  <si>
    <t>AGENORIA S PASCHAL/OLINDA ELEMENTARY SCHOOL</t>
  </si>
  <si>
    <t>OLYMPIA HEIGHTS ELEMENTARY SCHOOL</t>
  </si>
  <si>
    <t>DR. ROBERT B. INGRAM/OPA-LOCKA ELEMENTARY SCHOOL</t>
  </si>
  <si>
    <t>ORCHARD VILLA ELEMENTARY SCHOOL</t>
  </si>
  <si>
    <t>PALMETTO ELEMENTARY SCHOOL</t>
  </si>
  <si>
    <t>PALM LAKES ELEMENTARY SCHOOL</t>
  </si>
  <si>
    <t>PALM SPRINGS ELEMENTARY SCHOOL</t>
  </si>
  <si>
    <t>PALM SPRINGS NORTH ELEMENTARY SCHOOL</t>
  </si>
  <si>
    <t>PARKVIEW ELEMENTARY SCHOOL</t>
  </si>
  <si>
    <t>PARKWAY ELEMENTARY SCHOOL</t>
  </si>
  <si>
    <t>DR. HENRY E. PERRINE ACADEMY OF THE ARTS</t>
  </si>
  <si>
    <t>IRVING &amp; BEATRICE PESKOE K-8 CENTER</t>
  </si>
  <si>
    <t>KELSEY L. PHARR ELEMENTARY SCHOOL</t>
  </si>
  <si>
    <t>PINECREST ELEMENTARY SCHOOL</t>
  </si>
  <si>
    <t>PINE LAKE ELEMENTARY SCHOOL</t>
  </si>
  <si>
    <t>PINE VILLA ELEMENTARY SCHOOL</t>
  </si>
  <si>
    <t>HENRY E.S. REEVES ELEMENTARY SCHOOL</t>
  </si>
  <si>
    <t>POINCIANA PARK ELEMENTARY SCHOOL</t>
  </si>
  <si>
    <t>DR. GILBERT L. PORTER ELEMENTARY SCHOOL</t>
  </si>
  <si>
    <t>RAINBOW PARK ELEMENTARY SCHOOL</t>
  </si>
  <si>
    <t>REDLAND ELEMENTARY SCHOOL</t>
  </si>
  <si>
    <t>REDONDO ELEMENTARY SCHOOL</t>
  </si>
  <si>
    <t>ETHEL F. BECKFORD/RICHMOND ELEMENTARY SCHOOL</t>
  </si>
  <si>
    <t>RIVERSIDE ELEMENTARY COMMUNITY SCHOOL</t>
  </si>
  <si>
    <t>JANE S. ROBERTS K-8 CENTER</t>
  </si>
  <si>
    <t>ROCKWAY ELEMENTARY SCHOOL</t>
  </si>
  <si>
    <t>ROYAL GREEN ELEMENTARY SCHOOL</t>
  </si>
  <si>
    <t>GERTRUDE K. EDLEMAN/SABAL PALM ELEMENTARY SCHOOL</t>
  </si>
  <si>
    <t>SANTA CLARA ELEMENTARY SCHOOL</t>
  </si>
  <si>
    <t>SCOTT LAKE ELEMENTARY SCHOOL</t>
  </si>
  <si>
    <t>SEMINOLE ELEMENTARY SCHOOL</t>
  </si>
  <si>
    <t>SHADOWLAWN ELEMENTARY SCHOOL</t>
  </si>
  <si>
    <t>SHENANDOAH ELEMENTARY SCHOOL</t>
  </si>
  <si>
    <t>DAVID LAWRENCE JR. K-8 CENTER</t>
  </si>
  <si>
    <t>BEN SHEPPARD ELEMENTARY SCHOOL</t>
  </si>
  <si>
    <t>SILVER BLUFF ELEMENTARY SCHOOL</t>
  </si>
  <si>
    <t>ACADEMY FOR INTERNATIONAL EDUCATION CHARTER SCHOOL</t>
  </si>
  <si>
    <t>ERNEST R. GRAHAM K-8 ACADEMY</t>
  </si>
  <si>
    <t>DR. CARLOS J. FINLAY ELEMENTARY</t>
  </si>
  <si>
    <t>SKYWAY ELEMENTARY SCHOOL</t>
  </si>
  <si>
    <t>SOUTH POINTE ELEMENTARY SCHOOL</t>
  </si>
  <si>
    <t>JOHN I. SMITH K-8 CENTER</t>
  </si>
  <si>
    <t>SNAPPER CREEK ELEMENTARY SCHOOL</t>
  </si>
  <si>
    <t>N DADE CENTER FOR MODERN LANGUAGE</t>
  </si>
  <si>
    <t>HUBERT O. SIBLEY K-8 ACADEMY</t>
  </si>
  <si>
    <t>SOUTH HIALEAH ELEMENTARY SCHOOL</t>
  </si>
  <si>
    <t>SOUTH MIAMI K-8 CENTER</t>
  </si>
  <si>
    <t>SOUTH MIAMI HEIGHTS ELEMENTARY</t>
  </si>
  <si>
    <t>SOUTHSIDE ELEMENTARY SCHOOL</t>
  </si>
  <si>
    <t>SPRINGVIEW ELEMENTARY SCHOOL</t>
  </si>
  <si>
    <t>E.W.F. STIRRUP ELEMENTARY SCHOOL</t>
  </si>
  <si>
    <t>SUNSET ELEMENTARY SCHOOL</t>
  </si>
  <si>
    <t>SUNSET PARK ELEMENTARY SCHOOL</t>
  </si>
  <si>
    <t>SWEETWATER ELEMENTARY SCHOOL</t>
  </si>
  <si>
    <t>SYLVANIA HEIGHTS ELEMENTARY SCHOOL</t>
  </si>
  <si>
    <t>TREASURE ISLAND ELEMENTARY SCHOOL</t>
  </si>
  <si>
    <t>FRANCES S. TUCKER ELEMENTARY SCHOOL</t>
  </si>
  <si>
    <t>TWIN LAKES ELEMENTARY SCHOOL</t>
  </si>
  <si>
    <t>VILLAGE GREEN ELEMENTARY SCHOOL</t>
  </si>
  <si>
    <t>VINELAND K-8 CENTER</t>
  </si>
  <si>
    <t>MAE M. WALTERS ELEMENTARY SCHOOL</t>
  </si>
  <si>
    <t>WEST HOMESTEAD K-8 CENTER</t>
  </si>
  <si>
    <t>HENRY S. WEST LABORATORY SCHOOL</t>
  </si>
  <si>
    <t>DR. HENRY W. MACK/WEST LITTLE RIVER K-8 CENTER</t>
  </si>
  <si>
    <t>CARRIE P. MEEK/WESTVIEW K-8 CENTER</t>
  </si>
  <si>
    <t>PHYLLIS WHEATLEY ELEMENTARY SCHOOL</t>
  </si>
  <si>
    <t>WHISPERING PINES ELEMENTARY SCHOOL</t>
  </si>
  <si>
    <t>WINSTON PARK K-8 CENTER</t>
  </si>
  <si>
    <t>NATHAN B. YOUNG ELEMENTARY SCHOOL</t>
  </si>
  <si>
    <t>DR. EDWARD L. WHIGHAM ELEMENTARY SCHOOL</t>
  </si>
  <si>
    <t>CHARLES DAVID WYCHE, JR ELEMENTARY SCHOOL</t>
  </si>
  <si>
    <t>HERBERT A. AMMONS MIDDLE SCHOOL</t>
  </si>
  <si>
    <t>ALLAPATTAH MIDDLE SCHOOL</t>
  </si>
  <si>
    <t>ARVIDA MIDDLE SCHOOL</t>
  </si>
  <si>
    <t>ANDOVER MIDDLE SCHOOL</t>
  </si>
  <si>
    <t>BROWNSVILLE MIDDLE SCHOOL</t>
  </si>
  <si>
    <t>PAUL W. BELL MIDDLE SCHOOL</t>
  </si>
  <si>
    <t>CAROL CITY MIDDLE SCHOOL</t>
  </si>
  <si>
    <t>ZELDA GLAZER MIDDLE SCHOOL</t>
  </si>
  <si>
    <t>GEORGE WASHINGTON CARVER MIDDLE SCHOOL</t>
  </si>
  <si>
    <t>CUTLER BAY ACADEMY OF ADVANCED STUDIES, CENTENNIAL CAMPUS</t>
  </si>
  <si>
    <t>CITRUS GROVE MIDDLE SCHOOL</t>
  </si>
  <si>
    <t>CUTLER BAY ACADEMY OF ADVANCED STUDIES, CUTLER RIDGE CAMPUS</t>
  </si>
  <si>
    <t>RUBEN DARIO MIDDLE SCHOOL</t>
  </si>
  <si>
    <t>LAWTON CHILES MIDDLE SCHOOL</t>
  </si>
  <si>
    <t>HENRY H. FILER MIDDLE SCHOOL</t>
  </si>
  <si>
    <t>HAMMOCKS MIDDLE SCHOOL</t>
  </si>
  <si>
    <t>HIALEAH MIDDLE SCHOOL</t>
  </si>
  <si>
    <t>HIGHLAND OAKS MIDDLE SCHOOL</t>
  </si>
  <si>
    <t>HOMESTEAD MIDDLE SCHOOL</t>
  </si>
  <si>
    <t>THOMAS JEFFERSON MIDDLE SCHOOL</t>
  </si>
  <si>
    <t>JOHN F. KENNEDY MIDDLE SCHOOL</t>
  </si>
  <si>
    <t>KINLOCH PARK MIDDLE SCHOOL</t>
  </si>
  <si>
    <t>LAKE STEVENS MIDDLE SCHOOL</t>
  </si>
  <si>
    <t>JOSE DE DIEGO MIDDLE SCHOOL</t>
  </si>
  <si>
    <t>MADISON MIDDLE SCHOOL</t>
  </si>
  <si>
    <t>HORACE MANN MIDDLE SCHOOL</t>
  </si>
  <si>
    <t>HOWARD D. MCMILLAN MIDDLE SCHOOL</t>
  </si>
  <si>
    <t>MIAMI LAKES MIDDLE SCHOOL</t>
  </si>
  <si>
    <t>MIAMI SPRINGS MIDDLE SCHOOL</t>
  </si>
  <si>
    <t>NAUTILUS MIDDLE SCHOOL</t>
  </si>
  <si>
    <t>NORLAND MIDDLE SCHOOL</t>
  </si>
  <si>
    <t>NORTH DADE MIDDLE SCHOOL</t>
  </si>
  <si>
    <t>COUNTRY CLUB MIDDLE SCHOOL</t>
  </si>
  <si>
    <t>NORTH MIAMI MIDDLE SCHOOL</t>
  </si>
  <si>
    <t>PALM SPRINGS MIDDLE SCHOOL</t>
  </si>
  <si>
    <t>PALMETTO MIDDLE SCHOOL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</si>
  <si>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</si>
  <si>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</si>
  <si>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</si>
  <si>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</si>
  <si>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</si>
  <si>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</si>
  <si>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</si>
  <si>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</si>
  <si>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SOUTHWOOD MIDDLE SCHOOL</t>
  </si>
  <si>
    <t>SOUTH MIAMI MIDDLE SCHOOL</t>
  </si>
  <si>
    <t>W. R. THOMAS MIDDLE SCHOOL</t>
  </si>
  <si>
    <t>LAMAR LOUISE CURRY MIDDLE SCHOOL</t>
  </si>
  <si>
    <t>WEST MIAMI MIDDLE SCHOOL</t>
  </si>
  <si>
    <t>MIAMI-DADE ONLINE ACADEMY- VIRTUAL INSTRUCTION PROGRAM</t>
  </si>
  <si>
    <t>ITECH@THOMAS A EDISON EDUCATIONAL CENTER</t>
  </si>
  <si>
    <t>BIOTECH@RICHMOND HEIGHTS 9-12 HIGH SCHOOL</t>
  </si>
  <si>
    <t>AMERICAN SENIOR HIGH SCHOOL</t>
  </si>
  <si>
    <t>CENTER FOR INTERNATIONAL EDUCATION A CAMBRIDGE ASSOCIATE SCHOOL</t>
  </si>
  <si>
    <t>TERRA ENVIRONMENTAL RESEARCH INSTITUTE</t>
  </si>
  <si>
    <t>MAST@FIU</t>
  </si>
  <si>
    <t>LAW ENFORCEMENT OFFICERS MEMORIAL HIGH SCHOOL</t>
  </si>
  <si>
    <t>SCHOOL FOR ADVANCED STUDIES-WOLFSON</t>
  </si>
  <si>
    <t>ALONZO AND TRACY MOURNING SENIOR HIGH BISCAYNE BAY CAMPUS</t>
  </si>
  <si>
    <t>WESTLAND HIALEAH SENIOR HIGH SCHOOL</t>
  </si>
  <si>
    <t>G. HOLMES BRADDOCK SENIOR HIGH</t>
  </si>
  <si>
    <t>YOUNG WOMENS PREPARATORY ACADEMY</t>
  </si>
  <si>
    <t>YOUNG MEN'S PREPARATORY ACADEMY</t>
  </si>
  <si>
    <t>SCHOOL FOR ADVANCED STUDIES NORTH</t>
  </si>
  <si>
    <t>LATIN BUILDERS ASSOCIATION CONSTRUCTION AND BUSINESS MANAGEMENT ACADEMY</t>
  </si>
  <si>
    <t>CORAL GABLES SENIOR HIGH SCHOOL</t>
  </si>
  <si>
    <t>DESIGN &amp; ARCHITECTURE SENIOR HIGH</t>
  </si>
  <si>
    <t>SCHOOL FOR ADVANCED STUDIES - SOUTH</t>
  </si>
  <si>
    <t>CORAL REEF SENIOR HIGH SCHOOL</t>
  </si>
  <si>
    <t>HIALEAH SENIOR HIGH SCHOOL</t>
  </si>
  <si>
    <t>JOHN A. FERGUSON SENIOR HIGH</t>
  </si>
  <si>
    <t>HIALEAH-MIAMI LAKES SENIOR HIGH</t>
  </si>
  <si>
    <t>DR MICHAEL M. KROP SENIOR HIGH</t>
  </si>
  <si>
    <t>HOMESTEAD SENIOR HIGH SCHOOL</t>
  </si>
  <si>
    <t>MAST ACADEMY</t>
  </si>
  <si>
    <t>MEDICAL ACADEMY FOR SCIENCE AND TECHNOLOGY (M.A.S.T.) @ HOMESTEAD</t>
  </si>
  <si>
    <t>HIALEAH GARDENS SENIOR HIGH SCHOOL</t>
  </si>
  <si>
    <t>MIAMI BEACH SENIOR HIGH SCHOOL</t>
  </si>
  <si>
    <t>MIAMI CAROL CITY SENIOR HIGH</t>
  </si>
  <si>
    <t>RONALD W. REAGAN/DORAL SENIOR HIGH SCHOOL</t>
  </si>
  <si>
    <t>MIAMI CENTRAL SENIOR HIGH SCHOOL</t>
  </si>
  <si>
    <t>MIAMI CORAL PARK SENIOR HIGH</t>
  </si>
  <si>
    <t>JOSE MARTI MAST 6-12 ACADEMY</t>
  </si>
  <si>
    <t>MIAMI EDISON SENIOR HIGH SCHOOL</t>
  </si>
  <si>
    <t>MIAMI JACKSON SENIOR HIGH SCHOOL</t>
  </si>
  <si>
    <t>ARTHUR AND POLLY MAYS CONSERVATORY OF THE ARTS</t>
  </si>
  <si>
    <t>MIAMI KILLIAN SENIOR HIGH SCHOOL</t>
  </si>
  <si>
    <t>ROBERT MORGAN EDUCATIONAL CENTER</t>
  </si>
  <si>
    <t>MIAMI NORLAND SENIOR HIGH SCHOOL</t>
  </si>
  <si>
    <t>MIAMI LAKES EDUCATIONAL CENTER</t>
  </si>
  <si>
    <t>MIAMI NORTHWESTERN SENIOR HIGH</t>
  </si>
  <si>
    <t>MIAMI PALMETTO SENIOR HIGH SCHOOL</t>
  </si>
  <si>
    <t>MIAMI SENIOR HIGH SCHOOL</t>
  </si>
  <si>
    <t>MIAMI SPRINGS SENIOR HIGH SCHOOL</t>
  </si>
  <si>
    <t>MIAMI SUNSET SENIOR HIGH SCHOOL</t>
  </si>
  <si>
    <t>NORTH MIAMI BEACH SENIOR HIGH</t>
  </si>
  <si>
    <t>SCHOOL FOR ADVANCED STUDIES HOMESTEAD</t>
  </si>
  <si>
    <t>INTERNATIONAL STUDIES PREPARATORY ACADEMY</t>
  </si>
  <si>
    <t>I PREPARATORY ACADEMY</t>
  </si>
  <si>
    <t>NORTH MIAMI SENIOR HIGH SCHOOL</t>
  </si>
  <si>
    <t>WILLIAM H. TURNER TECHNICAL ARTS HIGH SCHOOL</t>
  </si>
  <si>
    <t>MIAMI MACARTHUR SOUTH</t>
  </si>
  <si>
    <t>SOUTH DADE SENIOR HIGH SCHOOL</t>
  </si>
  <si>
    <t>SOUTH MIAMI SENIOR HIGH SCHOOL</t>
  </si>
  <si>
    <t>MIAMI SOUTHRIDGE SENIOR HIGH</t>
  </si>
  <si>
    <t>SOUTHWEST MIAMI SENIOR HIGH</t>
  </si>
  <si>
    <t>BARBARA GOLEMAN SENIOR HIGH</t>
  </si>
  <si>
    <t>FELIX VARELA SENIOR HIGH SCHOOL</t>
  </si>
  <si>
    <t>BOOKER T. WASHINGTON SENIOR HIGH</t>
  </si>
  <si>
    <t>GEORGE T. BAKER AVIATION TECHNICAL COLLEGE</t>
  </si>
  <si>
    <t>NEW WORLD SCHOOL OF THE ARTS</t>
  </si>
  <si>
    <t>PACE CENTER FOR GIRLS</t>
  </si>
  <si>
    <t>TEENAGE PARENT PROGRAM</t>
  </si>
  <si>
    <t>ALTERNATIVE OUTREACH PROGRAM</t>
  </si>
  <si>
    <t>ACADEMY FOR COMMUNITY EDUCATION (ACE)</t>
  </si>
  <si>
    <t>TITLE I MIGRANT EDUCATION PROGRAM</t>
  </si>
  <si>
    <t>JAN MANN OPPORTUNITY SCHOOL</t>
  </si>
  <si>
    <t>COPE CENTER NORTH</t>
  </si>
  <si>
    <t>DOROTHY M. WALLACE COPE CENTER</t>
  </si>
  <si>
    <t>ROBERT RENICK EDUCATION CENTER</t>
  </si>
  <si>
    <t>RUTH OWENS KRUSE EDUCATION CENTER</t>
  </si>
  <si>
    <t>PREK INTERVENTION</t>
  </si>
  <si>
    <t>INSTRUCTIONAL CENTER SYSTEM WIDE</t>
  </si>
  <si>
    <t>COCONUT PALM K-8 ACADEMY</t>
  </si>
  <si>
    <t>SOUTH DADE MIDDLE</t>
  </si>
  <si>
    <t>BRUCIE BALL EDUCATIONAL CENTER</t>
  </si>
  <si>
    <t>DR. EDWARD L. WHIGHAM ELEMENTARY (PLC - E)   </t>
  </si>
  <si>
    <t xml:space="preserve">MARJORY S. DOUGLAS ELEMENTARY (PLC - F)     </t>
  </si>
  <si>
    <t>BOB GRAHAM EDUCATIONAL CENTER (PLC - H)</t>
  </si>
  <si>
    <t xml:space="preserve">OLIVER HOOVER ELEMENTARY (PLC - U)                         </t>
  </si>
  <si>
    <t>WILLIAM J. BRYAN ELEMENTARY (PLC - K)                                    </t>
  </si>
  <si>
    <t xml:space="preserve">BOWMAN / DOOLIN K8 CENTER (PLC - N)   </t>
  </si>
  <si>
    <t>JACK D. GORDON ELEMENTARY PANTHER (PLC - S)                                                </t>
  </si>
  <si>
    <t>JACK D. GORDON ELEMENTARY MANATEE (PLC - T)                                                </t>
  </si>
  <si>
    <t>THE ENVIRONMENTAL LEARNING LAB AND OUTDOOR CLASSROOM</t>
  </si>
  <si>
    <t>DUVAL</t>
  </si>
  <si>
    <t>Duval</t>
  </si>
  <si>
    <t>A. PHILIP RANDOLPH ACADEMIES</t>
  </si>
  <si>
    <t>ABESS PARK ELEMENTARY SCHOOL</t>
  </si>
  <si>
    <t>ALDEN ROAD EXCEP. STUDENT CENTER</t>
  </si>
  <si>
    <t>ALFRED I. DUPONT MIDDLE SCHOOL</t>
  </si>
  <si>
    <t>ALIMACANI ELEMENTARY SCHOOL</t>
  </si>
  <si>
    <t>ANDREW A. ROBINSON ELEMENTARY SCHOOL</t>
  </si>
  <si>
    <t>ANDREW JACKSON HIGH SCHOOL</t>
  </si>
  <si>
    <t>ANNIE R. MORGAN ELEMENTARY SCHOOL</t>
  </si>
  <si>
    <t>ARLINGTON ELEMENTARY SCHOOL</t>
  </si>
  <si>
    <t>ARLINGTON HEIGHTS ELEMENTARY SCHOOL</t>
  </si>
  <si>
    <t>ARLINGTON MIDDLE SCHOOL</t>
  </si>
  <si>
    <t>ATLANTIC BEACH ELEMENTARY SCHOOL</t>
  </si>
  <si>
    <t>ATLANTIC COAST HIGH SCHOOL</t>
  </si>
  <si>
    <t>BALDWIN MIDDLE-SENIOR HIGH SCHOOL</t>
  </si>
  <si>
    <t>BARTRAM SPRINGS ELEMENTARY</t>
  </si>
  <si>
    <t>BEAUCLERC ELEMENTARY SCHOOL</t>
  </si>
  <si>
    <t>BILTMORE ELEMENTARY SCHOOL</t>
  </si>
  <si>
    <t>BROOKVIEW ELEMENTARY SCHOOL</t>
  </si>
  <si>
    <t>CARTER G. WOODSON ELEMENTARY SCHOOL</t>
  </si>
  <si>
    <t>CEDAR HILLS ELEMENTARY SCHOOL</t>
  </si>
  <si>
    <t>CENTRAL RIVERSIDE ELEMENTARY SCHOOL</t>
  </si>
  <si>
    <t>CHAFFEE TRAIL ELEMENTARY</t>
  </si>
  <si>
    <t>CHET'S CREEK ELEMENTARY SCHOOL</t>
  </si>
  <si>
    <t>CHIMNEY LAKES ELEMENTARY SCHOOL</t>
  </si>
  <si>
    <t>CROWN POINT ELEMENTARY SCHOOL</t>
  </si>
  <si>
    <t>CRYSTAL SPRINGS ELEMENTARY SCHOOL</t>
  </si>
  <si>
    <t>DARNELL COOKMAN MIDDLE/HIGH SCHOOL</t>
  </si>
  <si>
    <t>DINSMORE ELEMENTARY SCHOOL</t>
  </si>
  <si>
    <t>DON BREWER ELEMENTARY SCHOOL</t>
  </si>
  <si>
    <t>DOUGLAS ANDERSON SCHOOL OF THE ARTS</t>
  </si>
  <si>
    <t>DUNCAN U. FLETCHER HIGH SCHOOL</t>
  </si>
  <si>
    <t>DUNCAN U. FLETCHER MIDDLE SCHOOL</t>
  </si>
  <si>
    <t>EDWARD H. WHITE HIGH SCHOOL</t>
  </si>
  <si>
    <t>ENGLEWOOD ELEMENTARY SCHOOL</t>
  </si>
  <si>
    <t>ENGLEWOOD HIGH SCHOOL</t>
  </si>
  <si>
    <t>ENTERPRISE LEARNING ACADEMY</t>
  </si>
  <si>
    <t>FIRST COAST HIGH SCHOOL</t>
  </si>
  <si>
    <t>FISHWEIR ELEMENTARY SCHOOL</t>
  </si>
  <si>
    <t>FLORIDA VIRTUAL ACADEMY AT DUVAL COUNTY</t>
  </si>
  <si>
    <t>FORT CAROLINE ELEMENTARY SCHOOL</t>
  </si>
  <si>
    <t>FORT CAROLINE MIDDLE SCHOOL</t>
  </si>
  <si>
    <t>FRANK H. PETERSON ACADEMIES</t>
  </si>
  <si>
    <t>GARDEN CITY ELEMENTARY SCHOOL</t>
  </si>
  <si>
    <t>GEORGE WASHINGTON CARVER ELEMENTARY</t>
  </si>
  <si>
    <t>GRAND PARK CAREER CENTER</t>
  </si>
  <si>
    <t>GREENFIELD ELEMENTARY SCHOOL</t>
  </si>
  <si>
    <t>GREENLAND PINES ELEMENTARY SCHOOL</t>
  </si>
  <si>
    <t>GREGORY DRIVE ELEMENTARY SCHOOL</t>
  </si>
  <si>
    <t>HENDRICKS AVENUE ELEMENTARY SCHOOL</t>
  </si>
  <si>
    <t>HENRY F. KITE ELEMENTARY SCHOOL</t>
  </si>
  <si>
    <t>HIGHLANDS ELEMENTARY SCHOOL</t>
  </si>
  <si>
    <t>HIGHLANDS MIDDLE SCHOOL</t>
  </si>
  <si>
    <t>HOGAN-SPRING GLEN ELEMENTARY SCHOOL</t>
  </si>
  <si>
    <t>HOLIDAY HILL ELEMENTARY SCHOOL</t>
  </si>
  <si>
    <t>HOSPITAL AND HOMEBOUND</t>
  </si>
  <si>
    <t>HYDE GROVE ELEMENTARY SCHOOL</t>
  </si>
  <si>
    <t>HYDE PARK ELEMENTARY SCHOOL</t>
  </si>
  <si>
    <t>J. ALLEN AXSON ELEMENTARY SCHOOL</t>
  </si>
  <si>
    <t>J. E. B. STUART MIDDLE SCHOOL</t>
  </si>
  <si>
    <t>JACKSONVILLE BEACH ELEMENTARY SCHOOL</t>
  </si>
  <si>
    <t>JACKSONVILLE HEIGHTS ELEMENTARY SCHOOL</t>
  </si>
  <si>
    <t>JAMES WELDON JOHNSON ACADEMIC AND CAREER TRAINING CENTER</t>
  </si>
  <si>
    <t>JAMES WELDON JOHNSON COLLEGE PREPARTORY MIDDLE SCHOOL</t>
  </si>
  <si>
    <t>JEAN RIBAULT HIGH SCHOOL</t>
  </si>
  <si>
    <t>JEAN RIBAULT MIDDLE SCHOOL</t>
  </si>
  <si>
    <t>JEFFERSON DAVIS MIDDLE SCHOOL</t>
  </si>
  <si>
    <t>JOHN E. FORD K-8 SCHOOL</t>
  </si>
  <si>
    <t>JOHN LOVE ELEMENTARY SCHOOL</t>
  </si>
  <si>
    <t>JOHN STOCKTON ELEMENTARY SCHOOL</t>
  </si>
  <si>
    <t>JOSEPH FINEGAN ELEMENTARY SCHOOL</t>
  </si>
  <si>
    <t>JOSEPH STILWELL MIDDLE SCHOOL</t>
  </si>
  <si>
    <t>JULIA LANDON COLLEGE PREPARATORY &amp; LEADERSHIP DEVELOPMENT SCHOOL</t>
  </si>
  <si>
    <t>KERNAN MIDDLE SCHOOL</t>
  </si>
  <si>
    <t>KERNAN TRAIL ELEMENTARY SCHOOL</t>
  </si>
  <si>
    <t>KINGS TRAIL ELEMENTARY SCHOOL</t>
  </si>
  <si>
    <t>KIRBY-SMITH MIDDLE SCHOOL</t>
  </si>
  <si>
    <t>LAKE LUCINA ELEMENTARY SCHOOL</t>
  </si>
  <si>
    <t>LAKE SHORE MIDDLE SCHOOL</t>
  </si>
  <si>
    <t>LANDMARK MIDDLE SCHOOL</t>
  </si>
  <si>
    <t>LAVILLA SCHOOL OF THE ARTS</t>
  </si>
  <si>
    <t>LONE STAR ELEMENTARY SCHOOL</t>
  </si>
  <si>
    <t>LONG BRANCH ELEMENTARY SCHOOL</t>
  </si>
  <si>
    <t>LORETTO ELEMENTARY SCHOOL</t>
  </si>
  <si>
    <t>LOUIS S. SHEFFIELD ELEMENTARY SCHOOL</t>
  </si>
  <si>
    <t>LOVE GROVE ELEMENTARY SCHOOL</t>
  </si>
  <si>
    <t>MAMIE AGNES JONES ELEMENTARY SCHOOL</t>
  </si>
  <si>
    <t>MANDARIN HIGH SCHOOL</t>
  </si>
  <si>
    <t>MANDARIN MIDDLE SCHOOL</t>
  </si>
  <si>
    <t>MANDARIN OAKS ELEMENTARY SCHOOL</t>
  </si>
  <si>
    <t>MARTIN LUTHER KING, JR ELEMENTARY SCHOOL</t>
  </si>
  <si>
    <t>MATTHEW W. GILBERT MIDDLE SCHOOL</t>
  </si>
  <si>
    <t>MATTIE V RUTHERFORD ALT ED CENTER</t>
  </si>
  <si>
    <t>MAYPORT ELEMENTARY SCHOOL</t>
  </si>
  <si>
    <t>MAYPORT MIDDLE SCHOOL</t>
  </si>
  <si>
    <t>MERRILL ROAD ELEMENTARY SCHOOL</t>
  </si>
  <si>
    <t>MT. HERMAN ESE CENTER</t>
  </si>
  <si>
    <t>NEPTUNE BEACH ELEMENTARY SCHOOL</t>
  </si>
  <si>
    <t>NEW BERLIN ELEMENTARY SCHOOL</t>
  </si>
  <si>
    <t>NORMANDY VILLAGE ELEMENTARY SCHOOL</t>
  </si>
  <si>
    <t>NORTH SHORE ELEMENTARY</t>
  </si>
  <si>
    <t>NORTHWESTERN MIDDLE SCHOOL</t>
  </si>
  <si>
    <t>OAK HILL ELEMENTARY SCHOOL</t>
  </si>
  <si>
    <t>OCEANWAY ELEMENTARY SCHOOL</t>
  </si>
  <si>
    <t>OCEANWAY SCHOOL</t>
  </si>
  <si>
    <t>ORTEGA ELEMENTARY SCHOOL</t>
  </si>
  <si>
    <t>PALM AVENUE EXCEP. STUDENT CENTER</t>
  </si>
  <si>
    <t>PARKWOOD HEIGHTS ELEMENTARY SCHOOL</t>
  </si>
  <si>
    <t>PAXON SCHOOL/ADVANCED STUDIES</t>
  </si>
  <si>
    <t>PICKETT ELEMENTARY SCHOOL</t>
  </si>
  <si>
    <t>PINE ESTATES ELEMENTARY SCHOOL</t>
  </si>
  <si>
    <t>PINE FOREST ELEMENTARY SCHOOL</t>
  </si>
  <si>
    <t>PINEDALE ELEMENTARY SCHOOL</t>
  </si>
  <si>
    <t>R. V. DANIELS ELEMENTARY SCHOOL</t>
  </si>
  <si>
    <t>RAMONA BOULEVARD ELEMENTARY SCHOOL</t>
  </si>
  <si>
    <t>REYNOLDS LANE ELEMENTARY SCHOOL</t>
  </si>
  <si>
    <t>RICHARD L. BROWN ELEMENTARY SCHOOL</t>
  </si>
  <si>
    <t>ROBERT E. LEE HIGH SCHOOL</t>
  </si>
  <si>
    <t>RUFUS E. PAYNE ELEMENTARY SCHOOL</t>
  </si>
  <si>
    <t>RUTH N. UPSON ELEMENTARY SCHOOL</t>
  </si>
  <si>
    <t>RUTLEDGE H. PEARSON ELEMENTARY SCHOOL</t>
  </si>
  <si>
    <t>S. A. HULL ELEMENTARY SCHOOL</t>
  </si>
  <si>
    <t>SABAL PALM ELEMENTARY SCHOOL</t>
  </si>
  <si>
    <t>SADIE T. TILLIS ELEMENTARY SCHOOL</t>
  </si>
  <si>
    <t>SAINT CLAIR EVANS ACADEMY</t>
  </si>
  <si>
    <t>SALLYE B. MATHIS ELEMENTARY SCHOOL</t>
  </si>
  <si>
    <t>SAMUEL W. WOLFSON HIGH SCHOOL</t>
  </si>
  <si>
    <t>SAN JOSE ELEMENTARY SCHOOL</t>
  </si>
  <si>
    <t>SAN MATEO ELEMENTARY SCHOOL</t>
  </si>
  <si>
    <t>SAN PABLO ELEMENTARY SCHOOL</t>
  </si>
  <si>
    <t>SANDALWOOD HIGH SCHOOL</t>
  </si>
  <si>
    <t>SCHOOL FOR THE FUTURE</t>
  </si>
  <si>
    <t>SEABREEZE ELEMENTARY SCHOOL</t>
  </si>
  <si>
    <t>SMART POPE LIVINGSTON ELEMENTARY</t>
  </si>
  <si>
    <t>SOUTHSIDE ESTATES ELEMENTARY SCHOOL</t>
  </si>
  <si>
    <t>SOUTHSIDE MIDDLE SCHOOL</t>
  </si>
  <si>
    <t>SPRING PARK ELEMENTARY SCHOOL</t>
  </si>
  <si>
    <t>STANTON COLLEGE PREPARATORY</t>
  </si>
  <si>
    <t>STONEWALL JACKSON ELEMENTARY SCHOOL</t>
  </si>
  <si>
    <t>SUSIE E. TOLBERT ELEMENTARY SCHOOL</t>
  </si>
  <si>
    <t>TERRY PARKER HIGH SCHOOL</t>
  </si>
  <si>
    <t>THOMAS JEFFERSON ELEMENTARY</t>
  </si>
  <si>
    <t>TIMUCUAN ELEMENTARY SCHOOL</t>
  </si>
  <si>
    <t>TWIN LAKES ACADEMY ELEMENTARY SCHOOL</t>
  </si>
  <si>
    <t>TWIN LAKES ACADEMY MIDDLE SCHOOL</t>
  </si>
  <si>
    <t>VENETIA ELEMENTARY SCHOOL</t>
  </si>
  <si>
    <t>WATERLEAF ELEMENTARY</t>
  </si>
  <si>
    <t>WEST JACKSONVILLE ELEMENTARY SCHOOL</t>
  </si>
  <si>
    <t>WEST RIVERSIDE ELEMENTARY SCHOOL</t>
  </si>
  <si>
    <t>WESTSIDE HIGH SCHOOL</t>
  </si>
  <si>
    <t>WESTVIEW K-8</t>
  </si>
  <si>
    <t>WHITEHOUSE ELEMENTARY SCHOOL</t>
  </si>
  <si>
    <t>WILLIAM M. RAINES HIGH SCHOOL</t>
  </si>
  <si>
    <t>WINDY HILL ELEMENTARY SCHOOL</t>
  </si>
  <si>
    <t>WOODLAND ACRES ELEMENTARY SCHOOL</t>
  </si>
  <si>
    <t>YOUTH DEVELOPMENT CENTER</t>
  </si>
  <si>
    <t>Grasp Academy</t>
  </si>
  <si>
    <t>ESCAMBIA</t>
  </si>
  <si>
    <t>A. K. SUTER ELEMENTARY SCHOOL</t>
  </si>
  <si>
    <t>BELLVIEW ELEMENTARY SCHOOL</t>
  </si>
  <si>
    <t>BELLVIEW MIDDLE SCHOOL</t>
  </si>
  <si>
    <t>BEULAH ELEMENTARY SCHOOL</t>
  </si>
  <si>
    <t>BLUE ANGELS ELEMENTARY SCHOOL</t>
  </si>
  <si>
    <t>BRATT ELEMENTARY SCHOOL</t>
  </si>
  <si>
    <t>BROWN BARGE MIDDLE SCHOOL</t>
  </si>
  <si>
    <t>C. A. WEIS ELEMENTARY SCHOOL</t>
  </si>
  <si>
    <t>CAMELOT ACADEMY OF ESCAMBIA COUNTY</t>
  </si>
  <si>
    <t>CORDOVA PARK ELEMENTARY SCHOOL</t>
  </si>
  <si>
    <t>COUNTY ADMINISTRATIVE ANNEX</t>
  </si>
  <si>
    <t>ENSLEY ELEMENTARY SCHOOL</t>
  </si>
  <si>
    <t>ERNEST WARD MIDDLE SCHOOL</t>
  </si>
  <si>
    <t>ESCAMBIA DISTRICT OFFICE</t>
  </si>
  <si>
    <t>ESCAMBIA HIGH SCHOOL</t>
  </si>
  <si>
    <t>ESCAMBIA VIRTUAL ACADEMY FRANCHISE</t>
  </si>
  <si>
    <t>ESCAMBIA VIRTUAL INSTRUCTION (COURSE OFFERINGS)</t>
  </si>
  <si>
    <t>ESCAMBIA VIRTUAL INSTRUCTION PROGRAM</t>
  </si>
  <si>
    <t>ESCAMBIA VIRTUAL INSTRUCTIONAL PROGRAM (DISTRICT PROVIDED)</t>
  </si>
  <si>
    <t>*</t>
  </si>
  <si>
    <t>ESCAMBIA WESTGATE CENTER</t>
  </si>
  <si>
    <t>FERRY PASS ELEMENTARY SCHOOL</t>
  </si>
  <si>
    <t>FERRY PASS MIDDLE SCHOOL</t>
  </si>
  <si>
    <t>GLOBAL LEARNING ACADEMY</t>
  </si>
  <si>
    <t>HELLEN CARO ELEMENTARY SCHOOL</t>
  </si>
  <si>
    <t>HOSPITAL &amp; HOMEBOUND</t>
  </si>
  <si>
    <t>J. H. WORKMAN MIDDLE SCHOOL</t>
  </si>
  <si>
    <t>J. M. TATE SENIOR HIGH SCHOOL</t>
  </si>
  <si>
    <t>JIM ALLEN ELEMENTARY SCHOOL</t>
  </si>
  <si>
    <t>JIM C. BAILEY MIDDLE SCHOOL</t>
  </si>
  <si>
    <t>JUDY ANDREWS SECOND CHANCE CENTER</t>
  </si>
  <si>
    <t>L. D. MCARTHUR ELEMENTARY SCHOOL</t>
  </si>
  <si>
    <t>LINCOLN PARK ELEMENTARY SCHOOL</t>
  </si>
  <si>
    <t>LONGLEAF ELEMENTARY SCHOOL</t>
  </si>
  <si>
    <t>MCMILLIAN LEARNING CENTER</t>
  </si>
  <si>
    <t>MOLINO PARK ELEMENTARY</t>
  </si>
  <si>
    <t>MONTCLAIR ELEMENTARY SCHOOL</t>
  </si>
  <si>
    <t>MYRTLE GROVE ELEMENTARY SCHOOL</t>
  </si>
  <si>
    <t>N. B. COOK ELEMENTARY SCHOOL</t>
  </si>
  <si>
    <t>NAVY POINT ELEMENTARY SCHOOL</t>
  </si>
  <si>
    <t>NORTHVIEW HIGH SCHOOL</t>
  </si>
  <si>
    <t>O. J. SEMMES ELEMENTARY SCHOOL</t>
  </si>
  <si>
    <t>OAKCREST ELEMENTARY SCHOOL</t>
  </si>
  <si>
    <t>PENSACOLA HIGH SCHOOL</t>
  </si>
  <si>
    <t>PINE FOREST HIGH SCHOOL</t>
  </si>
  <si>
    <t>PINE MEADOW ELEMENTARY SCHOOL</t>
  </si>
  <si>
    <t>PLEASANT GROVE ELEMENTARY SCHOOL</t>
  </si>
  <si>
    <t>R. C. LIPSCOMB ELEMENTARY SCHOOL</t>
  </si>
  <si>
    <t>RANSOM MIDDLE SCHOOL</t>
  </si>
  <si>
    <t>REINHARDT HOLM ELEMENTARY SCHOOL</t>
  </si>
  <si>
    <t>SCENIC HEIGHTS ELEMENTARY SCHOOL</t>
  </si>
  <si>
    <t>SHERWOOD ELEMENTARY SCHOOL</t>
  </si>
  <si>
    <t>WARRINGTON ELEMENTARY SCHOOL</t>
  </si>
  <si>
    <t>WARRINGTON MIDDLE SCHOOL</t>
  </si>
  <si>
    <t>WASHINGTON SENIOR HIGH SCHOOL</t>
  </si>
  <si>
    <t>WEST FLORIDA HIGH SCHOOL/TECHNICAL</t>
  </si>
  <si>
    <t>WEST PENSACOLA ELEMENTARY SCHOOL</t>
  </si>
  <si>
    <t>WOODHAM MIDDLE SCHOOL</t>
  </si>
  <si>
    <t>JEFFERSON</t>
  </si>
  <si>
    <t>JEFFERSON COUNTY ELEMENTARY SCHOOL</t>
  </si>
  <si>
    <t>JEFFERSON COUNTY MIDDLE/HIGH SCHOOL</t>
  </si>
  <si>
    <t>JEFFERSON VIRTUAL INSTRUCTION PROGRAM</t>
  </si>
  <si>
    <t>Jefferson County Transportation Office</t>
  </si>
  <si>
    <t>Turning Point</t>
  </si>
  <si>
    <t>LEON</t>
  </si>
  <si>
    <t>AMOS P. GODBY HIGH SCHOOL</t>
  </si>
  <si>
    <t>APALACHEE ELEMENTARY SCHOOL</t>
  </si>
  <si>
    <t>ASTORIA PARK ELEMENTARY SCHOOL</t>
  </si>
  <si>
    <t>BOND ELEMENTARY SCHOOL</t>
  </si>
  <si>
    <t>BUCK LAKE ELEMENTARY SCHOOL</t>
  </si>
  <si>
    <t>CANOPY OAKS ELEMENTARY SCHOOL</t>
  </si>
  <si>
    <t>CHAIRES ELEMENTARY SCHOOL</t>
  </si>
  <si>
    <t>DEERLAKE MIDDLE SCHOOL</t>
  </si>
  <si>
    <t>DESOTO TRAIL ELEMENTARY SCHOOL</t>
  </si>
  <si>
    <t>ELIZABETH COBB MIDDLE SCHOOL</t>
  </si>
  <si>
    <t>FAIRVIEW MIDDLE SCHOOL</t>
  </si>
  <si>
    <t>FORT BRADEN SCHOOL</t>
  </si>
  <si>
    <t>FRANK HARTSFIELD ELEMENTARY SCHOOL</t>
  </si>
  <si>
    <t>GILCHRIST ELEMENTARY SCHOOL</t>
  </si>
  <si>
    <t>GRETCHEN EVERHART SCHOOL</t>
  </si>
  <si>
    <t>GRIFFIN MIDDLE SCHOOL</t>
  </si>
  <si>
    <t>HAWKS RISE ELEMENTARY SCHOOL</t>
  </si>
  <si>
    <t>J MICHAEL CONLEY ELEMENTARY SCHOOL AT SOUTHWOOD</t>
  </si>
  <si>
    <t>JAMES RICKARDS HIGH SCHOOL</t>
  </si>
  <si>
    <t>JOHN G RILEY ELEMENTARY SCHOOL</t>
  </si>
  <si>
    <t>KATE SULLIVAN ELEMENTARY SCHOOL</t>
  </si>
  <si>
    <t>KILLEARN LAKES ELEMENTARY SCHOOL</t>
  </si>
  <si>
    <t>LAWTON CHILES HIGH SCHOOL</t>
  </si>
  <si>
    <t>LEON CO JUVENILE DETENTION CENTER</t>
  </si>
  <si>
    <t>LEON COUNTY JAIL</t>
  </si>
  <si>
    <t>LEON COUNTY VIRTUAL SCHOOL FRANCHISE</t>
  </si>
  <si>
    <t>LEON DISTRICT OFFICE</t>
  </si>
  <si>
    <t>LEON HIGH SCHOOL</t>
  </si>
  <si>
    <t>LINCOLN HIGH SCHOOL</t>
  </si>
  <si>
    <t>LIVELY TECHNICAL CENTER</t>
  </si>
  <si>
    <t>OAK RIDGE ELEMENTARY SCHOOL</t>
  </si>
  <si>
    <t>PACE SECONDARY SCHOOL</t>
  </si>
  <si>
    <t>PINEVIEW ELEMENTARY SCHOOL</t>
  </si>
  <si>
    <t>R. FRANK NIMS MIDDLE SCHOOL</t>
  </si>
  <si>
    <t>RAA MIDDLE SCHOOL</t>
  </si>
  <si>
    <t>ROBERTS ELEMENTARY SCHOOL</t>
  </si>
  <si>
    <t>RUEDIGER ELEMENTARY SCHOOL</t>
  </si>
  <si>
    <t>SAIL</t>
  </si>
  <si>
    <t>SEALEY ELEMENTARY SCHOOL</t>
  </si>
  <si>
    <t>SECOND CHANCE AT GHAZVINI LEARNING CENTER</t>
  </si>
  <si>
    <t>SPRINGWOOD ELEMENTARY SCHOOL</t>
  </si>
  <si>
    <t>SUCCESS ACADEMY AT GHAZVINI LEARNING CENTER</t>
  </si>
  <si>
    <t>SWIFT CREEK MIDDLE SCHOOL</t>
  </si>
  <si>
    <t>W T MOORE ELEMENTARY SCHOOL</t>
  </si>
  <si>
    <t>WILLIAM J MONTFORD III MIDDLE SCHOOL</t>
  </si>
  <si>
    <t>WOODVILLE ELEMENTARY SCHOOL</t>
  </si>
  <si>
    <t>WOODVILLE MIDDLE SCHOOL OF LEADERSHIP THROUGH HISTORY AND CIVICS</t>
  </si>
  <si>
    <t>LEVY</t>
  </si>
  <si>
    <t>BRONSON ELEMENTARY SCHOOL</t>
  </si>
  <si>
    <t>BRONSON MIDDLE/HIGH SCHOOL</t>
  </si>
  <si>
    <t>CEDAR KEY HIGH SCHOOL</t>
  </si>
  <si>
    <t>CHIEFLAND ELEMENTARY SCHOOL</t>
  </si>
  <si>
    <t>CHIEFLAND MIDDLE HIGH SCHOOL</t>
  </si>
  <si>
    <t>JOYCE M. BULLOCK ELEMENTARY SCHOOL</t>
  </si>
  <si>
    <t>LEVY DISTRICT OFFICE</t>
  </si>
  <si>
    <t>LEVY LEARNING ACADEMY</t>
  </si>
  <si>
    <t>NATURE COAST MIDDLE SCHOOL</t>
  </si>
  <si>
    <t>WHISPERING WINDS CHARTER SCHOOL</t>
  </si>
  <si>
    <t>WILLISTON ELEMENTARY SCHOOL</t>
  </si>
  <si>
    <t>WILLISTON HIGH SCHOOL</t>
  </si>
  <si>
    <t>WILLISTON MIDDLE SCHOOL</t>
  </si>
  <si>
    <t>YANKEETOWN SCHOOL</t>
  </si>
  <si>
    <t>BELLEVIEW-SANTOS ELEMENTARY SCHOOL</t>
  </si>
  <si>
    <t>COMMUNITY TECHNICAL &amp; ADULT EDUCATION CENTER</t>
  </si>
  <si>
    <t>EIGHTH STREET ELEMENTARY SCHOOL</t>
  </si>
  <si>
    <t>EMERALD SHORES ELEMENTARY SCHOOL</t>
  </si>
  <si>
    <t>FORT MCCOY SCHOOL</t>
  </si>
  <si>
    <t>FRANCIS MARION MILITARY ACADEMY</t>
  </si>
  <si>
    <t>HAMMETT BOWEN JR. ELEMENTARY SCHOOL</t>
  </si>
  <si>
    <t>KINGSBURY ACADEMY---New Name--NEW LEAF CENTER</t>
  </si>
  <si>
    <t>MADISON STREET ACADEMY OF VISUAL AND PERFORMING ARTS</t>
  </si>
  <si>
    <t>MARION REG. JUVENILE DETENTION CENTER</t>
  </si>
  <si>
    <t>MCSO ADULTS</t>
  </si>
  <si>
    <t>NORTH MARION HIGH SCHOOL</t>
  </si>
  <si>
    <t>OCALA SPRINGS ELEMENTARY SCHOOL</t>
  </si>
  <si>
    <t>OSCEOLA MIDDLE SCHOOL</t>
  </si>
  <si>
    <t>PREK SPEECH AND LANGUAGE STUDENT SERVICES</t>
  </si>
  <si>
    <t>REDDICK-COLLIER ELEMENTARY SCHOOL</t>
  </si>
  <si>
    <t>SILVER RIVER MENTORING AND INSTRUCTION</t>
  </si>
  <si>
    <t>STANTON-WEIRSDALE ELEMENTARY SCHOOL</t>
  </si>
  <si>
    <t>SUNRISE ELEMENTARY SCHOOL</t>
  </si>
  <si>
    <t>VANGUARD HIGH SCHOOL</t>
  </si>
  <si>
    <t>WARD-HIGHLANDS ELEMENTARY SCHOOL</t>
  </si>
  <si>
    <t>MARION</t>
  </si>
  <si>
    <t>MARTIN</t>
  </si>
  <si>
    <t>BESSEY CREEK ELEMENTARY SCHOOL</t>
  </si>
  <si>
    <t>CHALLENGER SCHOOL</t>
  </si>
  <si>
    <t>CITRUS GROVE ELEMENTARY</t>
  </si>
  <si>
    <t>CRYSTAL LAKE ELEMENTARY SCHOOL</t>
  </si>
  <si>
    <t>DR. DAVID L. ANDERSON MIDDLE SCHOOL</t>
  </si>
  <si>
    <t>ENVIRONMENTAL STUDIES CENTER</t>
  </si>
  <si>
    <t>FELIX A WILLIAMS ELEMENTARY SCHOOL</t>
  </si>
  <si>
    <t>HIDDEN OAKS MIDDLE SCHOOL</t>
  </si>
  <si>
    <t>HOBE SOUND ELEMENTARY SCHOOL</t>
  </si>
  <si>
    <t>INDIANTOWN MIDDLE SCHOOL</t>
  </si>
  <si>
    <t>J. D. PARKER SCHOOL OF TECHNOLOGY</t>
  </si>
  <si>
    <t>JENSEN BEACH ELEMENTARY SCHOOL</t>
  </si>
  <si>
    <t>JENSEN BEACH HIGH SCHOOL</t>
  </si>
  <si>
    <t>MARTIN COUNTY GIRLS ACADEMY</t>
  </si>
  <si>
    <t>MARTIN COUNTY HIGH SCHOOL</t>
  </si>
  <si>
    <t>MARTIN DISTRICT OFFICE</t>
  </si>
  <si>
    <t>MURRAY MIDDLE SCHOOL</t>
  </si>
  <si>
    <t>PALM CITY ELEMENTARY SCHOOL</t>
  </si>
  <si>
    <t>PORT SALERNO ELEMENTARY SCHOOL</t>
  </si>
  <si>
    <t>PREKINDERGARTEN PROGRAMS</t>
  </si>
  <si>
    <t>RIVERBEND ACADEMY</t>
  </si>
  <si>
    <t>SEA WIND ELEMENTARY SCHOOL</t>
  </si>
  <si>
    <t>SOUTH FORK HIGH SCHOOL</t>
  </si>
  <si>
    <t>SPECTRUM JUNIOR/SENIOR HIGH SCHOOL</t>
  </si>
  <si>
    <t>STUART MIDDLE SCHOOL</t>
  </si>
  <si>
    <t>TEEN PARENT INDIANTOWN</t>
  </si>
  <si>
    <t>WARFIELD ELEMENTARY SCHOOL</t>
  </si>
  <si>
    <t>NASSAU</t>
  </si>
  <si>
    <t>BRYCEVILLE ELEMENTARY SCHOOL</t>
  </si>
  <si>
    <t>CALLAHAN ELEMENTARY SCHOOL</t>
  </si>
  <si>
    <t>CALLAHAN INTERMEDIATE SCHOOL</t>
  </si>
  <si>
    <t>CALLAHAN MIDDLE SCHOOL</t>
  </si>
  <si>
    <t>EMMA LOVE HARDEE ELEMENTARY</t>
  </si>
  <si>
    <t>FERNANDINA BEACH HIGH SCHOOL</t>
  </si>
  <si>
    <t>FERNANDINA BEACH MIDDLE SCHOOL</t>
  </si>
  <si>
    <t>HILLIARD ELEMENTARY SCHOOL</t>
  </si>
  <si>
    <t>HILLIARD MIDDLE/SENIOR HIGH</t>
  </si>
  <si>
    <t>NASSAU DISTRICT OFFICE</t>
  </si>
  <si>
    <t>WEST NASSAU COUNTY HIGH SCHOOL</t>
  </si>
  <si>
    <t>YULEE ELEMENTARY SCHOOL</t>
  </si>
  <si>
    <t>YULEE HIGH SCHOOL</t>
  </si>
  <si>
    <t>YULEE MIDDLE SCHOOL</t>
  </si>
  <si>
    <t>YULEE PRIMARY SCHOOL</t>
  </si>
  <si>
    <t>OSCEOLA</t>
  </si>
  <si>
    <t>ADULT LEARNING CENTER OSCEOLA</t>
  </si>
  <si>
    <t>BELLALAGO CHARTER ACADEMY</t>
  </si>
  <si>
    <t>BOGGY CREEK ELEMENTARY SCHOOL</t>
  </si>
  <si>
    <t>CELEBRATION HIGH SCHOOL</t>
  </si>
  <si>
    <t>CELEBRATION SCHOOL</t>
  </si>
  <si>
    <t>CENTRAL AVENUE ELEMENTARY SCHOOL</t>
  </si>
  <si>
    <t>CHESTNUT ELEMENTARY SCHOOL FOR SCIENCE AND ENGINEERING</t>
  </si>
  <si>
    <t>DEERWOOD ELEMENTARY SCHOOL</t>
  </si>
  <si>
    <t>DENN JOHN MIDDLE SCHOOL</t>
  </si>
  <si>
    <t>DISCOVERY INTERMEDIATE SCHOOL</t>
  </si>
  <si>
    <t>EAST LAKE ELEMENTARY SCHOOL</t>
  </si>
  <si>
    <t>FLORA RIDGE ELEMENTARY SCHOOL</t>
  </si>
  <si>
    <t>GATEWAY HIGH SCHOOL</t>
  </si>
  <si>
    <t>HARMONY COMMUNITY SCHOOL</t>
  </si>
  <si>
    <t>HARMONY HIGH SCHOOL</t>
  </si>
  <si>
    <t>HICKORY TREE ELEMENTARY SCHOOL</t>
  </si>
  <si>
    <t>HORIZON MIDDLE SCHOOL</t>
  </si>
  <si>
    <t>KISSIMMEE ELEMENTARY SCHOOL</t>
  </si>
  <si>
    <t>KISSIMMEE MIDDLE SCHOOL</t>
  </si>
  <si>
    <t>KOA ELEMENTARY SCHOOL</t>
  </si>
  <si>
    <t>LIBERTY HIGH SCHOOL</t>
  </si>
  <si>
    <t>MICHIGAN AVENUE ELEMENTARY SCHOOL</t>
  </si>
  <si>
    <t>MILL CREEK ELEMENTARY SCHOOL</t>
  </si>
  <si>
    <t>NARCOOSSEE ELEMENTARY SCHOOL</t>
  </si>
  <si>
    <t>NARCOOSSEE MIDDLE SCHOOL</t>
  </si>
  <si>
    <t>NEPTUNE ELEMENTARY SCHOOL</t>
  </si>
  <si>
    <t>NEPTUNE MIDDLE SCHOOL</t>
  </si>
  <si>
    <t>NEW BEGINNINGS EDUCATION CENTER</t>
  </si>
  <si>
    <t>OASIS RESIDENTIAL CENTER</t>
  </si>
  <si>
    <t>OSCEOLA CENTER FOR EARLY LEARNING</t>
  </si>
  <si>
    <t>OSCEOLA COUNTY SCHOOL FOR THE ARTS</t>
  </si>
  <si>
    <t>OSCEOLA DISTRICT OFFICE</t>
  </si>
  <si>
    <t>OSCEOLA HIGH SCHOOL</t>
  </si>
  <si>
    <t>OSCEOLA REGIONAL JUVENILE COMMITMENT FACILITY</t>
  </si>
  <si>
    <t>OSCEOLA VIRTUAL FRANCHISE (SECONDARY)</t>
  </si>
  <si>
    <t>OSCEOLA VIRTUAL INSTRUCTION PROGRAM</t>
  </si>
  <si>
    <t>PARTIN SETTLEMENT ELEMENTARY SCHOOL</t>
  </si>
  <si>
    <t>PLEASANT HILL ELEMENTARY SCHOOL</t>
  </si>
  <si>
    <t>POINCIANA ACADEMY OF FINE ARTS</t>
  </si>
  <si>
    <t>POINCIANA HIGH SCHOOL</t>
  </si>
  <si>
    <t>PROFESSIONAL &amp; TECHNICAL HIGH SCHOOL</t>
  </si>
  <si>
    <t>REEDY CREEK ELEMENTARY SCHOOL</t>
  </si>
  <si>
    <t>ST. CLOUD ELEMENTARY SCHOOL</t>
  </si>
  <si>
    <t>ST. CLOUD HIGH SCHOOL</t>
  </si>
  <si>
    <t>ST. CLOUD MIDDLE SCHOOL</t>
  </si>
  <si>
    <t>TECHNICAL EDUCATION CENTER OSCEOLA</t>
  </si>
  <si>
    <t>TECHNICAL EDUCATION CENTER OSCEOLA ST CLOUD CAMPUS</t>
  </si>
  <si>
    <t>TECHNICAL EDUCATION CENTER OSCEOLA-POINCIANA CAMPUS</t>
  </si>
  <si>
    <t>THACKER AVENUE ELEMENTARY FOR INTERNATIONAL STUDIES</t>
  </si>
  <si>
    <t>VENTURA ELEMENTARY SCHOOL</t>
  </si>
  <si>
    <t>WESTSIDE K-8 SCHOOL</t>
  </si>
  <si>
    <t>ZENITH</t>
  </si>
  <si>
    <t>MAINTENANCE DEPARTMENT</t>
  </si>
  <si>
    <t>OSCEOLA TRANSPORATION DEPARTMENT</t>
  </si>
  <si>
    <t>ST. CLOUD TRANSPORTATION DEPARTMENT</t>
  </si>
  <si>
    <t>CHARTER SCHOOLS DEPARTMENT</t>
  </si>
  <si>
    <t>SPECIAL PROGRAMS DEPARTMENT</t>
  </si>
  <si>
    <t>OASIS DEPARTMENT</t>
  </si>
  <si>
    <t>PROFESSIONAL DEVELOPMENT DEPARTMENT</t>
  </si>
  <si>
    <t>HUMAN RESOURCES DEPARTMENT</t>
  </si>
  <si>
    <t>FACILITIES DEPARTMENT</t>
  </si>
  <si>
    <t>EXTENDED DAY DEPARTMENT</t>
  </si>
  <si>
    <t>STUDENT SERVICES DEPARTMENT</t>
  </si>
  <si>
    <t>ALTERNATIVE PROGRAMS DEPARTMENT</t>
  </si>
  <si>
    <t>SCHOOL NUTRITION SERVICES</t>
  </si>
  <si>
    <t>EXCEPTIONAL STUDENT EDUCATION DEPARTMENT</t>
  </si>
  <si>
    <t>PLANNING DEPARTMENT</t>
  </si>
  <si>
    <t>CURRICULUM ANNEX</t>
  </si>
  <si>
    <t>120159001722</t>
  </si>
  <si>
    <t>120159001760</t>
  </si>
  <si>
    <t>AUBURNDALE CENTRAL ELEMENTARY SCHOOL</t>
  </si>
  <si>
    <t>120159001749</t>
  </si>
  <si>
    <t>120159001745</t>
  </si>
  <si>
    <t xml:space="preserve">B.E.S.T. </t>
  </si>
  <si>
    <t>120159002945</t>
  </si>
  <si>
    <t>120159001755</t>
  </si>
  <si>
    <t>120159001754</t>
  </si>
  <si>
    <t>BARTOW SERVICE FACILITY (TRANSPORTATION)</t>
  </si>
  <si>
    <t>BARTOW SR HIGH SCHOOL</t>
  </si>
  <si>
    <t>120159001753</t>
  </si>
  <si>
    <t>INTERNATIONAL BACCALAUREATE AT BARTOW HIGH SCHOOL</t>
  </si>
  <si>
    <t>SUMMERLIN ACADEMY</t>
  </si>
  <si>
    <t>120159008173</t>
  </si>
  <si>
    <t>BEN HILL GRIFFIN JR ELEMENTARY SCHOOL</t>
  </si>
  <si>
    <t>120159001982</t>
  </si>
  <si>
    <t>BERKLEY ACCELERATED MIDDLE SCHOOL</t>
  </si>
  <si>
    <t>120159004188</t>
  </si>
  <si>
    <t>120159004441</t>
  </si>
  <si>
    <t>120159001724</t>
  </si>
  <si>
    <t>120159001989</t>
  </si>
  <si>
    <t>CARLTON PALMORE ELEMENTARY SCHOOL</t>
  </si>
  <si>
    <t>120159001706</t>
  </si>
  <si>
    <t>CENTRAL WAREHOUSE/B-1, B-2, B-3 &amp; B-4</t>
  </si>
  <si>
    <t>120159005349</t>
  </si>
  <si>
    <t>CHAIN OF LAKES ELEMENTARY SCHOOL</t>
  </si>
  <si>
    <t>120159005714</t>
  </si>
  <si>
    <t>CITRUS RIDGE:  A CIVICS ACADEMY</t>
  </si>
  <si>
    <t>CLARENCE BOSWELL ELEMENTARY SCHOOL</t>
  </si>
  <si>
    <t>120159002401</t>
  </si>
  <si>
    <t>CLEVELAND COURT ELEMENTARY SCHOOL</t>
  </si>
  <si>
    <t>120159001708</t>
  </si>
  <si>
    <t>120159001709</t>
  </si>
  <si>
    <t>120159003925</t>
  </si>
  <si>
    <t>120159001710</t>
  </si>
  <si>
    <t>120159001782</t>
  </si>
  <si>
    <t>DANIEL JENKINS ACADEMY OF TECHNOLOGY MIDDLE SCHOOL</t>
  </si>
  <si>
    <t>120159007992</t>
  </si>
  <si>
    <t>120159001725</t>
  </si>
  <si>
    <t>120159001727</t>
  </si>
  <si>
    <t>DISCOVERY ACADEMY OF LAKE ALFRED</t>
  </si>
  <si>
    <t>120159003112</t>
  </si>
  <si>
    <t>DISTRICT ADMINISTRATION BUILDING</t>
  </si>
  <si>
    <t>120159001712</t>
  </si>
  <si>
    <t>120159003256</t>
  </si>
  <si>
    <t>DORIS A. SANDERS LEARNING CENTER</t>
  </si>
  <si>
    <t>120159002402</t>
  </si>
  <si>
    <t>DR. NE ROBERTS ELEMENTARY SCHOOL</t>
  </si>
  <si>
    <t>120159003926</t>
  </si>
  <si>
    <t>120159001794</t>
  </si>
  <si>
    <t>120159003656</t>
  </si>
  <si>
    <t>120159001788</t>
  </si>
  <si>
    <t>120159007181</t>
  </si>
  <si>
    <t>120159001723</t>
  </si>
  <si>
    <t>120159001780</t>
  </si>
  <si>
    <t>120159001730</t>
  </si>
  <si>
    <t>FLORAL AVENUE ELEMENTARY SCHOOL</t>
  </si>
  <si>
    <t>120159001756</t>
  </si>
  <si>
    <t>FORT MEADE MIDDLE/SENIOR HIGH SCHOOL</t>
  </si>
  <si>
    <t>120159001743</t>
  </si>
  <si>
    <t>120159001728</t>
  </si>
  <si>
    <t>FRED G. GARNER ELEMENTARY SCHOOL</t>
  </si>
  <si>
    <t>120159001731</t>
  </si>
  <si>
    <t>120159001772</t>
  </si>
  <si>
    <t>120159001796</t>
  </si>
  <si>
    <t>120159001789</t>
  </si>
  <si>
    <t>120159001781</t>
  </si>
  <si>
    <t>120159001985</t>
  </si>
  <si>
    <t>GIBBONS STREET ELEMENTARY SCHOOL</t>
  </si>
  <si>
    <t>120159001759</t>
  </si>
  <si>
    <t>120159001769</t>
  </si>
  <si>
    <t>120159007586</t>
  </si>
  <si>
    <t>120159001795</t>
  </si>
  <si>
    <t>INTERNATIONAL BACCALAUREATE-East</t>
  </si>
  <si>
    <t>120159003788</t>
  </si>
  <si>
    <t>HIGHLAND CITY ELEMENTARY SCHOOL</t>
  </si>
  <si>
    <t>120159001761</t>
  </si>
  <si>
    <t>HIGHLANDS GROVE ELEMENTARY SCHOOL</t>
  </si>
  <si>
    <t>120159005338</t>
  </si>
  <si>
    <t>120159007399</t>
  </si>
  <si>
    <t>120159004185</t>
  </si>
  <si>
    <t>120159001732</t>
  </si>
  <si>
    <t>JAMES E. STEPHENS ELEMENTARY SCHOOL</t>
  </si>
  <si>
    <t>120159001791</t>
  </si>
  <si>
    <t>JAMES W. SIKES ELEMENTARY SCHOOL</t>
  </si>
  <si>
    <t>120159002404</t>
  </si>
  <si>
    <t>120159001757</t>
  </si>
  <si>
    <t>120159002456</t>
  </si>
  <si>
    <t>120159001770</t>
  </si>
  <si>
    <t>120159001739</t>
  </si>
  <si>
    <t>120159001740</t>
  </si>
  <si>
    <t>JIM MILES PROFESSIONAL DEVELOPMENT</t>
  </si>
  <si>
    <t>120159001734</t>
  </si>
  <si>
    <t>120159001736</t>
  </si>
  <si>
    <t>120159001768</t>
  </si>
  <si>
    <t>120159001767</t>
  </si>
  <si>
    <t>120159001766</t>
  </si>
  <si>
    <t>120159001764</t>
  </si>
  <si>
    <t>LAKE ALFRED BEST AT FRUITLAND PARK</t>
  </si>
  <si>
    <t>120159001735</t>
  </si>
  <si>
    <t>LAKE ALFRED-ADDAIR MIDDLE SCHOOL</t>
  </si>
  <si>
    <t>120159007029</t>
  </si>
  <si>
    <t>120159001792</t>
  </si>
  <si>
    <t>120159002405</t>
  </si>
  <si>
    <t>LAKE MARION CREEK MIDDLE SCHOOL</t>
  </si>
  <si>
    <t>120159003016</t>
  </si>
  <si>
    <t>120159001733</t>
  </si>
  <si>
    <t>LAKE WALES SERVICE FACILITY/LW-9 MAINT SHOP</t>
  </si>
  <si>
    <t>LAKELAND ALTERNATIVE ED CTR &amp; L-7 MAINT SHOP</t>
  </si>
  <si>
    <t>LAKELAND HIGHLANDS MIDDLE SCHOOL</t>
  </si>
  <si>
    <t>120159001793</t>
  </si>
  <si>
    <t>LAKELAND MONTESSORI MIDDLE SCHOOL</t>
  </si>
  <si>
    <t>120159007728</t>
  </si>
  <si>
    <t>LAKELAND MONTESSORI SCHOOL HOUSE</t>
  </si>
  <si>
    <t>120159004178</t>
  </si>
  <si>
    <t>120159001703</t>
  </si>
  <si>
    <t>LAKELAND SERVICE FACILITY/TRANSPORTATION</t>
  </si>
  <si>
    <t>120159006951</t>
  </si>
  <si>
    <t>120159003015</t>
  </si>
  <si>
    <t>120159001748</t>
  </si>
  <si>
    <t>120159004438</t>
  </si>
  <si>
    <t>120159001718</t>
  </si>
  <si>
    <t>LOUGHMAN OAKS ELEMENTARY SCHOOL</t>
  </si>
  <si>
    <t>120159001043</t>
  </si>
  <si>
    <t>120159008234</t>
  </si>
  <si>
    <t>MAYNARD A. TRAVISS CAREER CENTER</t>
  </si>
  <si>
    <t>120159001784</t>
  </si>
  <si>
    <t>MAYNARD A. TRAVISS TEEN PARENT PROGRAM</t>
  </si>
  <si>
    <t>120159001785</t>
  </si>
  <si>
    <t>120159004137</t>
  </si>
  <si>
    <t>MCLAUGHLIN MIDDLE SCHOOL AND FINE ARTS ACADEMY</t>
  </si>
  <si>
    <t>120159001773</t>
  </si>
  <si>
    <t>120159001715</t>
  </si>
  <si>
    <t>120159001765</t>
  </si>
  <si>
    <t>120159001762</t>
  </si>
  <si>
    <t>120159007899</t>
  </si>
  <si>
    <t>120159003261</t>
  </si>
  <si>
    <t>NORTH LAKELAND ELEMENTARY SCHOOL OF CHOICE</t>
  </si>
  <si>
    <t>120159001716</t>
  </si>
  <si>
    <t>NORTH LAKELAND MAINTENANCE SHOP L-4</t>
  </si>
  <si>
    <t>OSCAR J. POPE ELEMENTARY SCHOOL</t>
  </si>
  <si>
    <t>120159001783</t>
  </si>
  <si>
    <t>120159005350</t>
  </si>
  <si>
    <t>120159003789</t>
  </si>
  <si>
    <t>120159005342</t>
  </si>
  <si>
    <t>PEER CENTER</t>
  </si>
  <si>
    <t>PHILIP O'BRIEN ELEMENTARY SCHOOL</t>
  </si>
  <si>
    <t>120159001713</t>
  </si>
  <si>
    <t>120159004440</t>
  </si>
  <si>
    <t>POLK ACCELERATION ACADEMY</t>
  </si>
  <si>
    <t>120159001752</t>
  </si>
  <si>
    <t>POLK COUNTY SHERIFF'S CENTRAL CENTER</t>
  </si>
  <si>
    <t>120159003929</t>
  </si>
  <si>
    <t>POLK COUNTY SHERIFFS REGIONAL DETENTION CENTER</t>
  </si>
  <si>
    <t>120159007994</t>
  </si>
  <si>
    <t>120159008317</t>
  </si>
  <si>
    <t>120159002949</t>
  </si>
  <si>
    <t>120159007906</t>
  </si>
  <si>
    <t>POLK STATE COLLEGE COLLEGIATE HIGH SCHOOL</t>
  </si>
  <si>
    <t>120159004186</t>
  </si>
  <si>
    <t>POLK STATE LAKELAND GATEWAY TO COLLEGE CHARTER HIGH SCHOOL</t>
  </si>
  <si>
    <t>120159008246</t>
  </si>
  <si>
    <t>POLK SUPERINTENDENTS OFFICE - FOOD SERVICES</t>
  </si>
  <si>
    <t>POLK VIRTUAL INSTRUCTION PROGRAM</t>
  </si>
  <si>
    <t>120159007686</t>
  </si>
  <si>
    <t>120159004180</t>
  </si>
  <si>
    <t>POLK VIRTUAL INSTRUCTION (COURSE OFFERINGS)</t>
  </si>
  <si>
    <t>120159007993</t>
  </si>
  <si>
    <t>120159001763</t>
  </si>
  <si>
    <t>R. BRUCE WAGNER ELEMENTARY SCHOOL</t>
  </si>
  <si>
    <t>120159003923</t>
  </si>
  <si>
    <t>R. CLEM CHURCHWELL ELEMENTARY SCHOOL</t>
  </si>
  <si>
    <t>120159002480</t>
  </si>
  <si>
    <t>R.E.A.L. ACADEMY</t>
  </si>
  <si>
    <t>120159001787</t>
  </si>
  <si>
    <t>120159004179</t>
  </si>
  <si>
    <t>RIDGEVIEW GLOBAL STUDIES ACADEMY</t>
  </si>
  <si>
    <t>120159004437</t>
  </si>
  <si>
    <t>120159001719</t>
  </si>
  <si>
    <t>120159001777</t>
  </si>
  <si>
    <t>120159003927</t>
  </si>
  <si>
    <t>120159004436</t>
  </si>
  <si>
    <t>120159001786</t>
  </si>
  <si>
    <t>120159001721</t>
  </si>
  <si>
    <t>Sheriff's Youth Villa</t>
  </si>
  <si>
    <t>120159006837</t>
  </si>
  <si>
    <t>120159005337</t>
  </si>
  <si>
    <t>120159003655</t>
  </si>
  <si>
    <t>120159002895</t>
  </si>
  <si>
    <t>SOUTH LAKELAND MAINTENANCE SHOP L-6</t>
  </si>
  <si>
    <t>120159005341</t>
  </si>
  <si>
    <t>120159001717</t>
  </si>
  <si>
    <t>120159001705</t>
  </si>
  <si>
    <t>120159007262</t>
  </si>
  <si>
    <t>120159001776</t>
  </si>
  <si>
    <t>120159007310</t>
  </si>
  <si>
    <t>TRANSITION SCHOOL</t>
  </si>
  <si>
    <t>120159007835</t>
  </si>
  <si>
    <t>120159002457</t>
  </si>
  <si>
    <t>120159002894</t>
  </si>
  <si>
    <t>120159001737</t>
  </si>
  <si>
    <t>WALTER CALDWELL ELEMENTARY SCHOOL</t>
  </si>
  <si>
    <t>120159001750</t>
  </si>
  <si>
    <t>WENDELL WATSON ELEMENTARY SCHOOL</t>
  </si>
  <si>
    <t>120159002893</t>
  </si>
  <si>
    <t>WEST AREA ADULT/COMMUNITY SCHOOL</t>
  </si>
  <si>
    <t>120159007126</t>
  </si>
  <si>
    <t>120159001729</t>
  </si>
  <si>
    <t>120159001771</t>
  </si>
  <si>
    <t>120159007600</t>
  </si>
  <si>
    <t>120159007809</t>
  </si>
  <si>
    <t>WINTER HAVEN SENIOR HIGH SCHOOL</t>
  </si>
  <si>
    <t>120159001726</t>
  </si>
  <si>
    <t>ACHIEVEMENT ACADEMY- LAKELAND</t>
  </si>
  <si>
    <t>ACHIEVEMENT ACADEMY-BARTOW</t>
  </si>
  <si>
    <t>ACHIEVEMENT ACADEMY-WINTER HAVEN</t>
  </si>
  <si>
    <t>ALTA VISTA ELEMENTARY SCHOOL</t>
  </si>
  <si>
    <t>ALTURAS ELEMENTARY SCHOOL</t>
  </si>
  <si>
    <t>AUBURNDALE SENIOR HIGH SCHOOL</t>
  </si>
  <si>
    <t>BARTOW ELEMENTARY ACADEMY</t>
  </si>
  <si>
    <t>BARTOW MIDDLE SCHOOL</t>
  </si>
  <si>
    <t>BARTOW YOUTH ACADEMY</t>
  </si>
  <si>
    <t>BERKLEY ELEMENTARY SCHOOL</t>
  </si>
  <si>
    <t>BETHUNE ACADEMY</t>
  </si>
  <si>
    <t>BILL DUNCAN OPPORTUNITY CENTER</t>
  </si>
  <si>
    <t>CHAIN OF LAKES COLLEGIATE HIGH</t>
  </si>
  <si>
    <t>COMBEE ELEMENTARY SCHOOL</t>
  </si>
  <si>
    <t>COMPASS MIDDLE CHARTER SCHOOL</t>
  </si>
  <si>
    <t>CRYSTAL LAKE MIDDLE SCHOOL</t>
  </si>
  <si>
    <t>DAVENPORT COMMUNITY CAMPUS</t>
  </si>
  <si>
    <t>DAVENPORT SCHOOL OF THE ARTS</t>
  </si>
  <si>
    <t>DENISON MIDDLE SCHOOL</t>
  </si>
  <si>
    <t>DIXIELAND ELEMENTARY SCHOOL</t>
  </si>
  <si>
    <t>DON E WOODS OPPORTUNITY CENTER</t>
  </si>
  <si>
    <t>DUNDEE ELEMENTARY ACADEMY</t>
  </si>
  <si>
    <t>DUNDEE RIDGE MIDDLE ACADEMY</t>
  </si>
  <si>
    <t>DWIGHT C SMITH CENTER</t>
  </si>
  <si>
    <t>EAGLE LAKE ELEMENTARY SCHOOL</t>
  </si>
  <si>
    <t>EAST AREA ADULT SCHOOL</t>
  </si>
  <si>
    <t>EASTSIDE ELEMENTARY SCHOOL</t>
  </si>
  <si>
    <t>EDGAR L. PADGETT ELEMENTARY</t>
  </si>
  <si>
    <t>ELBERT ELEMENTARY SCHOOL</t>
  </si>
  <si>
    <t>FRANK E. BRIGHAM ACADEMY</t>
  </si>
  <si>
    <t>FROSTPROOF ELEMENTARY SCHOOL</t>
  </si>
  <si>
    <t>FROSTPROOF MIDDLE/SENIOR HIGH</t>
  </si>
  <si>
    <t>GARDEN GROVE ELEMENTARY SCHOOL</t>
  </si>
  <si>
    <t>GAUSE ACADEMY OF LEADERSHIP</t>
  </si>
  <si>
    <t>GEORGE W. JENKINS SENIOR HIGH</t>
  </si>
  <si>
    <t>HAINES CITY FUELING FACILITY</t>
  </si>
  <si>
    <t>HAINES CITY HEADSTART CENTER</t>
  </si>
  <si>
    <t>HAINES CITY SENIOR HIGH SCHOOL</t>
  </si>
  <si>
    <t>HARTRIDGE ACADEMY</t>
  </si>
  <si>
    <t>HIGHLAND CITY BASEBALL PARK</t>
  </si>
  <si>
    <t>HORIZONS ELEMENTARY SCHOOL</t>
  </si>
  <si>
    <t>HOSPITAL HOMEBOUND</t>
  </si>
  <si>
    <t>INWOOD ELEMENTARY SCHOOL</t>
  </si>
  <si>
    <t>JEAN O'DELL LEARNING CENTER</t>
  </si>
  <si>
    <t>JERE L. STAMBAUGH MIDDLE</t>
  </si>
  <si>
    <t>JESSE KEEN ELEMENTARY SCHOOL</t>
  </si>
  <si>
    <t>JEWETT MIDDLE ACADEMY MAGNET</t>
  </si>
  <si>
    <t>JEWETT SCHOOL OF THE ARTS</t>
  </si>
  <si>
    <t>JOHN SNIVELY ELEMENTARY</t>
  </si>
  <si>
    <t>KAREN M. SIEGEL ACADEMY</t>
  </si>
  <si>
    <t>KATHLEEN ELEMENTARY SCHOOL</t>
  </si>
  <si>
    <t>KATHLEEN MIDDLE SCHOOL</t>
  </si>
  <si>
    <t>KATHLEEN SENIOR HIGH SCHOOL</t>
  </si>
  <si>
    <t>KINGSFORD ELEMENTARY SCHOOL</t>
  </si>
  <si>
    <t>LAKE ALFRED ELEMENTARY SCHOOL</t>
  </si>
  <si>
    <t>LAKE ALFRED FUELING FACILITY</t>
  </si>
  <si>
    <t>LAKE GIBSON MIDDLE SCHOOL</t>
  </si>
  <si>
    <t>LAKE GIBSON SENIOR HIGH SCHOOL</t>
  </si>
  <si>
    <t>LAKE HAMILTON  DRIVE WAREHOUSE</t>
  </si>
  <si>
    <t>LAKE REGION HIGH SCHOOL</t>
  </si>
  <si>
    <t>LAKE SHIPP ELEMENTARY SCHOOL</t>
  </si>
  <si>
    <t>LAKELAND SENIOR HIGH</t>
  </si>
  <si>
    <t>HARRISON SCHOOL OF THE ARTS</t>
  </si>
  <si>
    <t>LAUREL ELEMENTARY SCHOOL</t>
  </si>
  <si>
    <t>LAWTON CHILES MIDDLE ACADEMY</t>
  </si>
  <si>
    <t xml:space="preserve">LEARNING SUPPORT </t>
  </si>
  <si>
    <t>LENA VISTA ELEMENTARY SCHOOL</t>
  </si>
  <si>
    <t>LEWIS ANNA WOODBURY ELEMENTARY (PK-3)</t>
  </si>
  <si>
    <t>LEWIS ANNA WOODBURY ELEMENTARY(4-5)</t>
  </si>
  <si>
    <t>LINCOLN AVENUE ACADEMY</t>
  </si>
  <si>
    <t>MAGNOLIA MONTESSORI ACADEMY</t>
  </si>
  <si>
    <t>MARK WILCOX CENTER</t>
  </si>
  <si>
    <t>MCKEEL ACADEMY OF TECHNOLOGY</t>
  </si>
  <si>
    <t>MCKEEL CENTRAL ACADEMY</t>
  </si>
  <si>
    <t>MEDULLA ELEMENTARY SCHOOL</t>
  </si>
  <si>
    <t>MULBERRY MIDDLE SCHOOL</t>
  </si>
  <si>
    <t>MULBERRY SENIOR HIGH SCHOOL</t>
  </si>
  <si>
    <t>NEW BEGINNINGS HIGH SCHOOL</t>
  </si>
  <si>
    <t>NEW HORIZONS</t>
  </si>
  <si>
    <t>NORTH CENTRAL SUPPORT SERVICES</t>
  </si>
  <si>
    <t>OUR CHILDREN'S ACADEMY</t>
  </si>
  <si>
    <t>PACE CENTER FOR GIRLS OF POLK</t>
  </si>
  <si>
    <t>POLK CITY ELEMENTARY SCHOOL</t>
  </si>
  <si>
    <t>POLK FULL TIME ESCHOOL</t>
  </si>
  <si>
    <t>POLK HALFWAY HOUSE</t>
  </si>
  <si>
    <t>POLK PRE-COLLEGIATE ACADEMY</t>
  </si>
  <si>
    <t>POLK VIRTUAL FRANCHISE</t>
  </si>
  <si>
    <t>PURCELL ELEMENTARY SCHOOL</t>
  </si>
  <si>
    <t>RIDGE CAREER CENTER</t>
  </si>
  <si>
    <t>RIDGE TEEN PARENT PROGRAM</t>
  </si>
  <si>
    <t>RIDGE COMMUNITY HIGH SCHOOL</t>
  </si>
  <si>
    <t>ROCHELLE SCHOOL OF THE ARTS</t>
  </si>
  <si>
    <t>ROOSEVELT ACADEMY</t>
  </si>
  <si>
    <t>ROSABELLE W. BLAKE ACADEMY</t>
  </si>
  <si>
    <t>SANDHILL ELEMENTARY SCHOOL</t>
  </si>
  <si>
    <t>SHELLEY S. BOONE MIDDLE SCHOOL</t>
  </si>
  <si>
    <t>SLEEPY HILL ELEMENTARY SCHOOL</t>
  </si>
  <si>
    <t>SLEEPY HILL MIDDLE SCHOOL</t>
  </si>
  <si>
    <t>SOCRUM ELEMENTARY SCHOOL</t>
  </si>
  <si>
    <t>SOUTH MCKEEL ACADEMY</t>
  </si>
  <si>
    <t>SOUTHWEST ELEMENTARY SCHOOL</t>
  </si>
  <si>
    <t>SOUTHWEST MIDDLE SCHOOL</t>
  </si>
  <si>
    <t>SPESSARD L HOLLAND ELEMENTARY</t>
  </si>
  <si>
    <t>SPOOK HILL ELEMENTARY SCHOOL</t>
  </si>
  <si>
    <t>TENOROC HIGH SCHOOL</t>
  </si>
  <si>
    <t>TENOROC SERVICE FACILITY</t>
  </si>
  <si>
    <t>UA-1 SHOP/SC AREA</t>
  </si>
  <si>
    <t>UNION ACADEMY</t>
  </si>
  <si>
    <t>VALLEYVIEW ELEMENTARY SCHOOL</t>
  </si>
  <si>
    <t>WAHNETA ELEMENTARY SCHOOL</t>
  </si>
  <si>
    <t>WESTWOOD MIDDLE SCHOOL</t>
  </si>
  <si>
    <t>WH5 Maintenance Shop</t>
  </si>
  <si>
    <t>WINSTON ACADEMY OF ENGINEERING</t>
  </si>
  <si>
    <t>WINTER HAVEN HEAD START</t>
  </si>
  <si>
    <t>WINTER HAVEN PACE</t>
  </si>
  <si>
    <t>WOODLAKE CENTER</t>
  </si>
  <si>
    <t>SEMINOLE</t>
  </si>
  <si>
    <t>ALTAMONTE ELEMENTARY SCHOOL</t>
  </si>
  <si>
    <t>BEAR LAKE ELEMENTARY SCHOOL</t>
  </si>
  <si>
    <t>BENTLEY ELEMENTARY SCHOOL</t>
  </si>
  <si>
    <t>BOYS TOWN</t>
  </si>
  <si>
    <t>CARILLON ELEMENTARY SCHOOL</t>
  </si>
  <si>
    <t>CASSELBERRY ELEMENTARY SCHOOL</t>
  </si>
  <si>
    <t>CHILES MIDDLE SCHOOL</t>
  </si>
  <si>
    <t>CONTRACTED SERVICES</t>
  </si>
  <si>
    <t>CROOMS ACADEMY OF INFORMATION TECHNOLOGY</t>
  </si>
  <si>
    <t>EASTBROOK ELEMENTARY SCHOOL</t>
  </si>
  <si>
    <t>ENDEAVOR SCHOOL</t>
  </si>
  <si>
    <t>ENGLISH ESTATES ELEMENTARY SCHOOL</t>
  </si>
  <si>
    <t>EVANS ELEMENTARY SCHOOL</t>
  </si>
  <si>
    <t>FOREST CITY ELEMENTARY SCHOOL</t>
  </si>
  <si>
    <t>GENEVA ELEMENTARY SCHOOL</t>
  </si>
  <si>
    <t>GOLDSBORO ELEMENTARY MAGNET</t>
  </si>
  <si>
    <t>GREENWOOD LAKES MIDDLE SCHOOL</t>
  </si>
  <si>
    <t>HAGERTY HIGH SCHOOL</t>
  </si>
  <si>
    <t>HAMILTON ELEMENTARY SCHOOL</t>
  </si>
  <si>
    <t>HEATHROW ELEMENTARY SCHOOL</t>
  </si>
  <si>
    <t>HOPPER CENTER</t>
  </si>
  <si>
    <t>HOSPITAL HOMEBOUND PROGRAM</t>
  </si>
  <si>
    <t>IDYLLWILDE ELEMENTARY SCHOOL</t>
  </si>
  <si>
    <t>INDIAN TRAILS MIDDLE SCHOOL</t>
  </si>
  <si>
    <t>JACKSON HEIGHTS MIDDLE SCHOOL</t>
  </si>
  <si>
    <t>JOHN POLK ALTERNATIVE SCHOOL</t>
  </si>
  <si>
    <t>JOURNEYS ACADEMY</t>
  </si>
  <si>
    <t>KEETH ELEMENTARY SCHOOL</t>
  </si>
  <si>
    <t>LAKE BRANTLEY HIGH SCHOOL</t>
  </si>
  <si>
    <t>LAKE HOWELL HIGH SCHOOL</t>
  </si>
  <si>
    <t>LAKE MARY ELEMENTARY SCHOOL</t>
  </si>
  <si>
    <t>LAKE MARY HIGH SCHOOL</t>
  </si>
  <si>
    <t>LAKE ORIENTA ELEMENTARY SCHOOL</t>
  </si>
  <si>
    <t>LAWTON ELEMENTARY SCHOOL</t>
  </si>
  <si>
    <t>LAYER ELEMENTARY SCHOOL</t>
  </si>
  <si>
    <t>LYMAN HIGH SCHOOL</t>
  </si>
  <si>
    <t>MARKHAM WOODS MIDDLE SCHOOL</t>
  </si>
  <si>
    <t>MIDWAY ELEMENTARY SCHOOL</t>
  </si>
  <si>
    <t>MIGRANT NON-ENROLLED STUDENTS</t>
  </si>
  <si>
    <t>MILWEE MIDDLE SCHOOL</t>
  </si>
  <si>
    <t>OVIEDO HIGH SCHOOL</t>
  </si>
  <si>
    <t>PARTIN ELEMENTARY SCHOOL</t>
  </si>
  <si>
    <t>PINE CREST ELEMENTARY SCHOOL</t>
  </si>
  <si>
    <t>RAINBOW ELEMENTARY SCHOOL</t>
  </si>
  <si>
    <t>RED BUG ELEMENTARY SCHOOL</t>
  </si>
  <si>
    <t>ROCK LAKE MIDDLE SCHOOL</t>
  </si>
  <si>
    <t>SABAL POINT ELEMENTARY SCHOOL</t>
  </si>
  <si>
    <t>SANFORD MIDDLE SCHOOL</t>
  </si>
  <si>
    <t>SCPS CONSEQUENCE UNIT</t>
  </si>
  <si>
    <t>SCPS EARLY LEARNING COALITION</t>
  </si>
  <si>
    <t>SEMINOLE ACADEMY OF DIGITAL LEARNING</t>
  </si>
  <si>
    <t>SEMINOLE COUNTY DETENTION CENTER</t>
  </si>
  <si>
    <t>SEMINOLE COUNTY VIRTUAL FRANCHISE (SCVS)</t>
  </si>
  <si>
    <t>SEMINOLE DISTRICT OFFICE</t>
  </si>
  <si>
    <t>SEMINOLE HIGH SCHOOL</t>
  </si>
  <si>
    <t>SEMINOLE VIRTUAL INSTRUCTION (COURSE OFFERINGS)</t>
  </si>
  <si>
    <t>SEMINOLE VIRTUAL INSTRUCTION PROGRAM (SVIP)</t>
  </si>
  <si>
    <t>SOUTH SEMINOLE MIDDLE SCHOOL</t>
  </si>
  <si>
    <t>SPRING LAKE ELEMENTARY SCHOOL</t>
  </si>
  <si>
    <t>STENSTROM ELEMENTARY SCHOOL</t>
  </si>
  <si>
    <t>STERLING PARK ELEMENTARY SCHOOL</t>
  </si>
  <si>
    <t>TAPP CHILDCARE CENTER</t>
  </si>
  <si>
    <t>TEAGUE MIDDLE SCHOOL</t>
  </si>
  <si>
    <t>TUSKAWILLA MIDDLE SCHOOL</t>
  </si>
  <si>
    <t>WALKER ELEMENTARY SCHOOL</t>
  </si>
  <si>
    <t>WEKIVA ELEMENTARY SCHOOL</t>
  </si>
  <si>
    <t>WICKLOW ELEMENTARY SCHOOL</t>
  </si>
  <si>
    <t>WILSON ELEMENTARY SCHOOL</t>
  </si>
  <si>
    <t>WINTER SPRINGS ELEMENTARY SCHOOL</t>
  </si>
  <si>
    <t>WINTER SPRINGS HIGH SCHOOL</t>
  </si>
  <si>
    <t>WOODLANDS ELEMENTARY SCHOOL</t>
  </si>
  <si>
    <t>FACILITIES SERVICES DEPARTMENT</t>
  </si>
  <si>
    <t>TRANSPORTATION DEPARTMENT</t>
  </si>
  <si>
    <t>EDUCATIONAL SUPPORT CENTER ANNEX</t>
  </si>
  <si>
    <t>RINEHART ANNEX</t>
  </si>
  <si>
    <t>MIDWAY SAFE HARBOR</t>
  </si>
  <si>
    <t>INFORMATION SERVICES SUPPORT</t>
  </si>
  <si>
    <t>CHESTER A. MOORE ELEMENTARY SCHOOL</t>
  </si>
  <si>
    <t>FORT PIERCE CENTRAL HIGH SCHOOL</t>
  </si>
  <si>
    <t>FORT PIERCE MAGNET SCHOOL OF THE ARTS</t>
  </si>
  <si>
    <t>FORT PIERCE WESTWOOD HIGH SCHOOL</t>
  </si>
  <si>
    <t>HARBOR BRANCH</t>
  </si>
  <si>
    <t>FRANCES K. SWEET ELEMENTARY SCHOOL</t>
  </si>
  <si>
    <t>LAKEWOOD PARK ELEMENTARY SCHOOL</t>
  </si>
  <si>
    <t>MOSAIC DIGITAL ACADEMY (ST. LUCIE VIRTUAL FRANCHISE)</t>
  </si>
  <si>
    <t>MOSAIC DIGITAL ACADEMY LOWER SCHOOL</t>
  </si>
  <si>
    <t>MOSAIC DIGITAL ACADEMY PT ST. LUCIE VIRTUAL INSTRUC (COURSE OFFERINGS)</t>
  </si>
  <si>
    <t>PACE CENTER FOR GIRLS, TREASURE COAST</t>
  </si>
  <si>
    <t>PERFORMANCE BASED PREPARATORY ACADEMY</t>
  </si>
  <si>
    <t>SAVANNA RIDGE ELEMENTARY SCHOOL</t>
  </si>
  <si>
    <t>SOUTH COUNTY COMPLEX FACILITIES &amp; MAINTENANCE</t>
  </si>
  <si>
    <t>SOUTH COUNTY COMPLEX PURCHASING, STORES &amp; WAREHOUSE</t>
  </si>
  <si>
    <t>SOUTH COUNTY COMPLEX TRANSPORTATION DEPT.</t>
  </si>
  <si>
    <t>ST. LUCIE COUNTY SCHOOL BOARD - JAIL PROG - ESE</t>
  </si>
  <si>
    <t>ST. LUCIE COUNTY SCHOOL DISTRICT OFFICE</t>
  </si>
  <si>
    <t>ST. LUCIE VIRTUAL INSTRUCTION PROGRAM</t>
  </si>
  <si>
    <t>VILLAGE GREEN ENVIRONMENTAL STUDIES SCHOOL</t>
  </si>
  <si>
    <t>WINDMILL POINT ELEMENTARY SCHOOL</t>
  </si>
  <si>
    <t>VOLUSIA</t>
  </si>
  <si>
    <t>ATLANTIC HIGH SCHOOL</t>
  </si>
  <si>
    <t>CORONADO BEACH ELEMENTARY SCHOOL</t>
  </si>
  <si>
    <t>CYPRESS CREEK ELEMENTARY SCHOOL</t>
  </si>
  <si>
    <t>DAVID C HINSON SR MIDDLE SCHOOL</t>
  </si>
  <si>
    <t>DELTONA LAKES ELEMENTARY SCHOOL</t>
  </si>
  <si>
    <t>EDITH I. STARKE ELEMENTARY SCHOOL</t>
  </si>
  <si>
    <t>GEORGE W. MARKS ELEMENTARY SCHOOL</t>
  </si>
  <si>
    <t>HIGHBANKS LEARNING CENTER</t>
  </si>
  <si>
    <t>HOLLY HILL SCHOOL</t>
  </si>
  <si>
    <t>LOUISE S. MCINNIS ELEMENTARY SCHOOL</t>
  </si>
  <si>
    <t>MAINLAND HIGH SCHOOL</t>
  </si>
  <si>
    <t>R. J. LONGSTREET ELEMENTARY SCHOOL</t>
  </si>
  <si>
    <t>READ-PATTILLO ELEMENTARY SCHOOL</t>
  </si>
  <si>
    <t>RIVERVIEW LEARNING CENTER/ALTERNATIVE ED</t>
  </si>
  <si>
    <t>SCHOOL DISTRICT OF VOLUSIA COUNTY</t>
  </si>
  <si>
    <t>SOUTH DAYTONA ELEMENTARY SCHOOL</t>
  </si>
  <si>
    <t>T. DEWITT TAYLOR MIDDLE-HIGH SCHOOL</t>
  </si>
  <si>
    <t>TRANSPORTATION - NEW SMYRNA BEACH</t>
  </si>
  <si>
    <t>TURIE T. SMALL ELEMENTARY SCHOOL</t>
  </si>
  <si>
    <t>VOLUSIA PINES ELEMENTARY SCHOOL</t>
  </si>
  <si>
    <t>WOODWARD AVENUE ELEMENTARY SCHOOL</t>
  </si>
  <si>
    <t>WASHINGTON</t>
  </si>
  <si>
    <t>CHIPLEY HIGH SCHOOL</t>
  </si>
  <si>
    <t>KATE M. SMITH ELEMENTARY SCHOOL</t>
  </si>
  <si>
    <t>OKEECHOBEE YOUTH DEVELOPMENT CENTER</t>
  </si>
  <si>
    <t>ROULHAC MIDDLE SCHOOL</t>
  </si>
  <si>
    <t>VERNON ELEMENTARY SCHOOL</t>
  </si>
  <si>
    <t>VERNON HIGH SCHOOL</t>
  </si>
  <si>
    <t>VERNON MIDDLE SCHOOL</t>
  </si>
  <si>
    <t>WASHINGTON DISTRICT OFFICE</t>
  </si>
  <si>
    <t>WASHINGTON INSTITUTE FOR SPECIALIZED EDUCATION</t>
  </si>
  <si>
    <t>WASHINGTON-HOLMES TECHNICAL CENTER</t>
  </si>
  <si>
    <t>VERNON BUS BARN</t>
  </si>
  <si>
    <t>OKEECHOBEE</t>
  </si>
  <si>
    <t>CENTRAL ELEMENTARY SCHOOL</t>
  </si>
  <si>
    <t>NORTH ELEMENTARY SCHOOL</t>
  </si>
  <si>
    <t>OKEECHOBEE ACHIEVEMENT ACADEMY</t>
  </si>
  <si>
    <t>OKEECHOBEE DISTRICT OFFICE</t>
  </si>
  <si>
    <t>OKEECHOBEE FRESHMAN CAMPUS</t>
  </si>
  <si>
    <t>OKEECHOBEE HIGH SCHOOL</t>
  </si>
  <si>
    <t>SOUTH ELEMENTARY SCHOOL</t>
  </si>
  <si>
    <t>YEARLING MIDDLE SCHOOL</t>
  </si>
  <si>
    <t>SANTAROSA</t>
  </si>
  <si>
    <t>AVALON MIDDLE SCHOOL</t>
  </si>
  <si>
    <t>BAGDAD ELEMENTARY SCHOOL</t>
  </si>
  <si>
    <t>BENNETT C RUSSELL ELEMENTARY SCHOOL</t>
  </si>
  <si>
    <t>BERRYHILL ADMINISTRATIVE COMPLEX</t>
  </si>
  <si>
    <t>BERRYHILL ELEMENTARY SCHOOL</t>
  </si>
  <si>
    <t>CAPSTONE ACADEMY MILTON CHARTER SCHOOL</t>
  </si>
  <si>
    <t>CENTRAL SCHOOL</t>
  </si>
  <si>
    <t>CHUMUCKLA ELEMENTARY SCHOOL</t>
  </si>
  <si>
    <t>EAST MILTON ELEMENTARY SCHOOL</t>
  </si>
  <si>
    <t>GULF BREEZE ELEMENTARY SCHOOL</t>
  </si>
  <si>
    <t>GULF BREEZE HIGH SCHOOL</t>
  </si>
  <si>
    <t>GULF BREEZE MIDDLE SCHOOL</t>
  </si>
  <si>
    <t>HOBBS MIDDLE SCHOOL</t>
  </si>
  <si>
    <t>HOLLEY-NAVARRE INTERMEDIATE</t>
  </si>
  <si>
    <t>HOLLEY-NAVARRE MIDDLE SCHOOL</t>
  </si>
  <si>
    <t>HOLLEY-NAVARRE PRIMARY</t>
  </si>
  <si>
    <t>JAY ELEMENTARY SCHOOL</t>
  </si>
  <si>
    <t>JAY HIGH SCHOOL</t>
  </si>
  <si>
    <t>LEARNING ACADEMY OF SANTA ROSA</t>
  </si>
  <si>
    <t>LOCKLIN TECHNICAL CENTER</t>
  </si>
  <si>
    <t>MARTIN LUTHER KING MIDDLE SCHOOL</t>
  </si>
  <si>
    <t>MILTON HIGH SCHOOL</t>
  </si>
  <si>
    <t>NAVARRE HIGH SCHOOL</t>
  </si>
  <si>
    <t>ORIOLE BEACH ELEMENTARY SCHOOL</t>
  </si>
  <si>
    <t>PACE HIGH SCHOOL</t>
  </si>
  <si>
    <t>PEA RIDGE ELEMENTARY SCHOOL</t>
  </si>
  <si>
    <t>S. S. DIXON INTERMEDIATE SCHOOL</t>
  </si>
  <si>
    <t>S. S. DIXON PRIMARY SCHOOL</t>
  </si>
  <si>
    <t>SANTA ROSA ADULT SCHOOL</t>
  </si>
  <si>
    <t>SANTA ROSA DISTRICT OFFICE</t>
  </si>
  <si>
    <t>SANTA ROSA ONLINE VIRTUAL INSTRUCTION PROGRAM</t>
  </si>
  <si>
    <t>SANTA ROSA VIRTUAL FRANCHISE</t>
  </si>
  <si>
    <t>SANTA ROSA VIRTUAL INSTRUCTION COURSE OFFERINGS</t>
  </si>
  <si>
    <t>T. R. JACKSON PREK CENTER</t>
  </si>
  <si>
    <t>THOMAS L SIMS MIDDLE SCHOOL</t>
  </si>
  <si>
    <t>W. H. RHODES ELEMENTARY SCHOOL</t>
  </si>
  <si>
    <t>WEST NAVARRE INTERMEDIATE SCHOOL</t>
  </si>
  <si>
    <t>WEST NAVARRE PRIMARY SCHOOL</t>
  </si>
  <si>
    <t>WOODLAWN BEACH MIDDLE SCHOOL</t>
  </si>
  <si>
    <t>Admin Support Complex</t>
  </si>
  <si>
    <t>DESOTO</t>
  </si>
  <si>
    <t>HERNANDO</t>
  </si>
  <si>
    <t>BROOKSVILLE ELEMENTARY SCHOOL</t>
  </si>
  <si>
    <t>CENTRAL HIGH SCHOOL</t>
  </si>
  <si>
    <t>CENTRAL HIGH SCHOOL-ADULT EDUCATION</t>
  </si>
  <si>
    <t>CHALLENGER K-8 SCHOOL OF SCIENCE AND MATH</t>
  </si>
  <si>
    <t>CHOCACHATTI ELEMENTARY SCHOOL</t>
  </si>
  <si>
    <t>D. S. PARROTT MIDDLE SCHOOL</t>
  </si>
  <si>
    <t>DELTONA ELEMENTARY SCHOOL</t>
  </si>
  <si>
    <t>ENDEAVOR ACADEMY</t>
  </si>
  <si>
    <t>EXPLORER K-8</t>
  </si>
  <si>
    <t>FOX CHAPEL MIDDLE SCHOOL</t>
  </si>
  <si>
    <t>FRANK W. SPRINGSTEAD HIGH SCHOOL</t>
  </si>
  <si>
    <t>FRANK W. SPRINGSTEAD HIGH/ADUL</t>
  </si>
  <si>
    <t>HERNANDO COUNTY ADULT EDUCATION</t>
  </si>
  <si>
    <t>HERNANDO DISTRICT OFFICE</t>
  </si>
  <si>
    <t>HERNANDO ESCHOOL VIRTUAL FRANCHISE</t>
  </si>
  <si>
    <t>HERNANDO HIGH SCHOOL</t>
  </si>
  <si>
    <t>HERNANDO HIGH SCHOOL/ADULT EDUCATION</t>
  </si>
  <si>
    <t>HERNANDO VIRTUAL INSTRUCTION</t>
  </si>
  <si>
    <t>HERNANDO VIRTUAL INSTRUCTION (COURSE OFFERINGS)</t>
  </si>
  <si>
    <t>HERNANDO VIRTUAL INSTRUCTION PROGRAM</t>
  </si>
  <si>
    <t>JOHN D. FLOYD K-8 SCHOOL OF ENVIRONMENTAL SCIENCE</t>
  </si>
  <si>
    <t>MOTON ELEMENTARY SCHOOL</t>
  </si>
  <si>
    <t>NATURE COAST TECHNICAL HIGH</t>
  </si>
  <si>
    <t>NATURE COAST TECHNICAL HIGH- ADULT</t>
  </si>
  <si>
    <t>PINE GROVE ELEMENTARY SCHOOL</t>
  </si>
  <si>
    <t>POWELL MIDDLE SCHOOL</t>
  </si>
  <si>
    <t>SPRING HILL ELEMENTARY SCHOOL</t>
  </si>
  <si>
    <t>SUNCOAST ELEMENTARY SCHOOL</t>
  </si>
  <si>
    <t>WEEKI WACHEE HIGH SCHOOL</t>
  </si>
  <si>
    <t>WEST HERNANDO MIDDLE SCHOOL</t>
  </si>
  <si>
    <t>WESTSIDE ELEMENTARY SCHOOL</t>
  </si>
  <si>
    <t>WINDING WATERS K-8</t>
  </si>
  <si>
    <t>ALTERNATIVE LEARNING CENTER CENTRAL</t>
  </si>
  <si>
    <t>ALTERNATIVE LEARNING CENTER WEST</t>
  </si>
  <si>
    <t>BONITA SPRINGS ELEMENTARY SCHOOL</t>
  </si>
  <si>
    <t>BONITA SPRINGS MIDDLE CENTER FOR THE ARTS</t>
  </si>
  <si>
    <t>BUCKINGHAM EXCEPTIONAL STUDENT CENTER</t>
  </si>
  <si>
    <t>CAPE CORAL INSTITUTE OF TECHNOLOGY</t>
  </si>
  <si>
    <t>COUNTY WIDE EXCEPTIONAL CHILD PROGRAMS</t>
  </si>
  <si>
    <t>DR CARRIE D ROBINSON LITTLETON ELEMENTARY SCHOOL</t>
  </si>
  <si>
    <t>DUNBAR HIGH SCHOOL</t>
  </si>
  <si>
    <t>EARLY CHILDHOOD LEARNING SERVICES</t>
  </si>
  <si>
    <t>EDISON PARK CREATIVE AND EXPRESSIVE ARTS SCHOOL</t>
  </si>
  <si>
    <t>FORT MYERS BEACH ELEMENTARY SCHOOL</t>
  </si>
  <si>
    <t>FORT MYERS INSTITUTE OF TECHNOLOGY</t>
  </si>
  <si>
    <t>FRANKLIN PARK ELEMENTARY SCHOOL</t>
  </si>
  <si>
    <t>G. WEAVER HIPPS ELEMENTARY SCHOOL</t>
  </si>
  <si>
    <t>HANCOCK CREEK ELEMENTARY SCHOOL</t>
  </si>
  <si>
    <t>HECTOR A. CAFFERATA JR ELEMENTARY SCHOOL</t>
  </si>
  <si>
    <t>ISLAND COAST HIGH SCHOOL</t>
  </si>
  <si>
    <t>J. COLIN ENGLISH ELEMENTARY SCHOOL</t>
  </si>
  <si>
    <t>JAMES STEPHENS INTERNATIONAL ACADEMY</t>
  </si>
  <si>
    <t>LEE VIRTUAL INSTRUCTION PROGRAM</t>
  </si>
  <si>
    <t>NORTH FORT MYERS ACADEMY FOR THE ARTS</t>
  </si>
  <si>
    <t>PAUL LAURENCE DUNBAR MIDDLE SCHOOL</t>
  </si>
  <si>
    <t>RAY V. POTTORF ELEMENTARY SCHOOL</t>
  </si>
  <si>
    <t>RAYMA C. PAGE ELEMENTARY SCHOOL</t>
  </si>
  <si>
    <t>ROYAL PALM EXCEPTIONAL SCHOOL CENTER</t>
  </si>
  <si>
    <t>SAN CARLOS PARK ELEMENTARY SCHOOL</t>
  </si>
  <si>
    <t>SOUTHWEST FLORIDA JUVENILE DETENTION CENTER</t>
  </si>
  <si>
    <t>SOUTHWEST FLORIDA PUBLIC SERVICE ACADEMY</t>
  </si>
  <si>
    <t>SW FL ADDICTION SERVICES-THE VINCE SMITH CENTER</t>
  </si>
  <si>
    <t>TORTUGA PRESERVE ELEMENTARY SCHOOL</t>
  </si>
  <si>
    <t>VETERANS PARK ACADEMY FOR THE ARTS</t>
  </si>
  <si>
    <t>PASCO</t>
  </si>
  <si>
    <t>RODNEY B. COX ELEMENTARY SCHOOL</t>
  </si>
  <si>
    <t>SEVEN SPRINGS ELEMENTARY SCHOOL</t>
  </si>
  <si>
    <t>THOMAS E. WEIGHTMAN MIDDLE SCHOOL</t>
  </si>
  <si>
    <t>WESLEY CHAPEL ELEMENTARY SCHOOL</t>
  </si>
  <si>
    <t>WEST ZEPHYRHILLS ELEMENTARY SCHOOL</t>
  </si>
  <si>
    <t>Sanders Memorial Elementary School</t>
  </si>
  <si>
    <t>Quail Hollow Elementary School</t>
  </si>
  <si>
    <t>Shady Hills Elementary School</t>
  </si>
  <si>
    <t>UNION</t>
  </si>
  <si>
    <t>UNION COUNTY HIGH SCHOOL</t>
  </si>
  <si>
    <t>UNION JUVENILE RESIDENTIAL FACILITY-THREE SPRINGS</t>
  </si>
  <si>
    <t>WAKULLA</t>
  </si>
  <si>
    <t>SECOND CHANCE SCHOOL-SOPCHOPPY EDUCATION CENTER</t>
  </si>
  <si>
    <t>WAKULLA HIGH SCHOOL</t>
  </si>
  <si>
    <t>MEDART ELEMENTARY SCHOOL</t>
  </si>
  <si>
    <t>RIVERSINK ELEMENTARY SCHOOL</t>
  </si>
  <si>
    <t>RIVERSPRINGS MIDDLE SCHOOL</t>
  </si>
  <si>
    <t>SHADEVILLE ELEMENTARY SCHOOL</t>
  </si>
  <si>
    <t>WAKULLA COUNTY PRE K PROGRAM</t>
  </si>
  <si>
    <t>WAKULLA DISTRICT OFFICE</t>
  </si>
  <si>
    <t>WAKULLA MIDDLE SCHOOL</t>
  </si>
  <si>
    <t>ALACHUA</t>
  </si>
  <si>
    <t>A. L. MEBANE MIDDLE SCHOOL</t>
  </si>
  <si>
    <t>A.QUINN JONES/EXCEP.STUDENT CENTER</t>
  </si>
  <si>
    <t>ABRAHAM LINCOLN MIDDLE SCHOOL</t>
  </si>
  <si>
    <t>ALACHUA ACADEMY</t>
  </si>
  <si>
    <t>ALACHUA ELEMENTARY SCHOOL</t>
  </si>
  <si>
    <t>ALACHUA ESCHOOL (VIRTUAL FRANCHISE)</t>
  </si>
  <si>
    <t>ALACHUA REGIONAL JUVENILE DETENTION CENTER</t>
  </si>
  <si>
    <t>AMIKIDS</t>
  </si>
  <si>
    <t>ARCHER ELEMENTARY</t>
  </si>
  <si>
    <t>BOULWARE SPRINGS</t>
  </si>
  <si>
    <t>C. W. NORTON ELEMENTARY SCHOOL</t>
  </si>
  <si>
    <t>CAMP CRYSTAL LAKE</t>
  </si>
  <si>
    <t>CARING &amp; SHARING LEARNING SCHOOL</t>
  </si>
  <si>
    <t>CHESTER SHELL ELEMENTARY SCHOOL</t>
  </si>
  <si>
    <t>Duval Early Learning Academy</t>
  </si>
  <si>
    <t>EASTSIDE HIGH SCHOOL</t>
  </si>
  <si>
    <t>EXPRESSIONS LEARNING ARTS ACADEMY</t>
  </si>
  <si>
    <t>F. W. BUCHHOLZ HIGH SCHOOL</t>
  </si>
  <si>
    <t>FEARNSIDE FAMILY SERVICES CENTER</t>
  </si>
  <si>
    <t>FORT CLARKE MIDDLE SCHOOL</t>
  </si>
  <si>
    <t>GAINESVILLE HIGH SCHOOL</t>
  </si>
  <si>
    <t>GENESIS PREPARATORY SCHOOL</t>
  </si>
  <si>
    <t>GLEN SPRINGS ELEMENTARY SCHOOL</t>
  </si>
  <si>
    <t>HAWTHORNE MIDDLE/HIGH SCHOOL</t>
  </si>
  <si>
    <t>HEALTHY LEARNING ACADEMY CHARTER SCHOOL</t>
  </si>
  <si>
    <t>HIDDEN OAK ELEMENTARY SCHOOL</t>
  </si>
  <si>
    <t>HIGH SPRINGS COMMUNITY SCHOOL</t>
  </si>
  <si>
    <t>HOWARD W. BISHOP MIDDLE SCHOOL</t>
  </si>
  <si>
    <t>IDYLWILD ELEMENTARY SCHOOL</t>
  </si>
  <si>
    <t>J. J. FINLEY ELEMENTARY SCHOOL</t>
  </si>
  <si>
    <t>JOSEPH WILLIAMS ELEMENTARY SCHOOL</t>
  </si>
  <si>
    <t>KANAPAHA MIDDLE SCHOOL</t>
  </si>
  <si>
    <t>KIMBALL WILES ELEMENTARY SCHOOL</t>
  </si>
  <si>
    <t>LAWTON M. CHILES ELEMENTARY SCHOOL</t>
  </si>
  <si>
    <t>LITTLEWOOD ELEMENTARY SCHOOL</t>
  </si>
  <si>
    <t>MARJORIE KINNAN RAWLINGS ELEMENTARY SCHOOL</t>
  </si>
  <si>
    <t>MICANOPY MIDDLE SCHOOL, INC.</t>
  </si>
  <si>
    <t>MYRA TERWILLIGER ELEMENTARY SCHOOL</t>
  </si>
  <si>
    <t>NEWBERRY ELEMENTARY SCHOOL</t>
  </si>
  <si>
    <t>NEWBERRY HIGH SCHOOL</t>
  </si>
  <si>
    <t>OAK VIEW MIDDLE SCHOOL</t>
  </si>
  <si>
    <t>ONE ROOM MIDDLE SCHOOL</t>
  </si>
  <si>
    <t>PACE</t>
  </si>
  <si>
    <t>PROFESSIONAL ACADEMY MAGNET AT LOFTEN HIGH SCHOOL</t>
  </si>
  <si>
    <t>SANTA FE HIGH SCHOOL</t>
  </si>
  <si>
    <t>SIATECH GAINESVILLE</t>
  </si>
  <si>
    <t>SIDNEY LANIER CENTER</t>
  </si>
  <si>
    <t>THE EINSTEIN SCHOOL, INC.</t>
  </si>
  <si>
    <t>THE ONE ROOM SCHOOL HOUSE PROJECT</t>
  </si>
  <si>
    <t>W. A. METCALFE ELEMENTARY SCHOOL</t>
  </si>
  <si>
    <t>W. W. IRBY ELEMENTARY SCHOOL</t>
  </si>
  <si>
    <t>WILLIAM S. TALBOT ELEM SCHOOL</t>
  </si>
  <si>
    <t>BAKER COUNTY SENIOR HIGH SCHOOL</t>
  </si>
  <si>
    <t>J FRANKLYN KELLER INTERMEDIATE SCHOOL</t>
  </si>
  <si>
    <t>BAY</t>
  </si>
  <si>
    <t>A. CRAWFORD MOSLEY HIGH SCHOOL</t>
  </si>
  <si>
    <t>BAY REGIONAL JUVENILE DETENTION CENTER</t>
  </si>
  <si>
    <t>BREAKFAST POINT ACADEMY</t>
  </si>
  <si>
    <t>C C WASHINGTON ACADEMY</t>
  </si>
  <si>
    <t>CEDAR GROVE ELEMENTARY SCHOOL</t>
  </si>
  <si>
    <t>DEANE BOZEMAN SCHOOL</t>
  </si>
  <si>
    <t>DEER POINT ELEMENTARY SCHOOL</t>
  </si>
  <si>
    <t>HILAND PARK ELEMENTARY SCHOOL</t>
  </si>
  <si>
    <t>HUTCHISON BEACH ELEMENTARY SCHOOL</t>
  </si>
  <si>
    <t>J.R. ARNOLD HIGH SCHOOL</t>
  </si>
  <si>
    <t>LYNN HAVEN ELEMENTARY SCHOOL</t>
  </si>
  <si>
    <t>MARGARET K. LEWIS IN MILLVILLE</t>
  </si>
  <si>
    <t>MOWAT MIDDLE SCHOOL</t>
  </si>
  <si>
    <t>NEW HORIZONS LEARNING CENTER</t>
  </si>
  <si>
    <t>NORTHSIDE ELEMENTARY SCHOOL</t>
  </si>
  <si>
    <t>PATRONIS ELEMENTARY SCHOOL</t>
  </si>
  <si>
    <t>SOUTHPORT ELEMENTARY SCHOOL</t>
  </si>
  <si>
    <t>SURFSIDE MIDDLE SCHOOL</t>
  </si>
  <si>
    <t>TOM P. HANEY VOCATIONAL TECHNICAL CENTER</t>
  </si>
  <si>
    <t>WALLER ELEMENTARY SCHOOL</t>
  </si>
  <si>
    <t>WEST BAY ELEMENTARY SCHOOL</t>
  </si>
  <si>
    <t>BRADFORD</t>
  </si>
  <si>
    <t>BRADFORD HIGH SCHOOL</t>
  </si>
  <si>
    <t>BRADFORD-UNION TECHNICAL CENTER</t>
  </si>
  <si>
    <t>BREVARD</t>
  </si>
  <si>
    <t>ANDREW JACKSON MIDDLE SCHOOL</t>
  </si>
  <si>
    <t>APOLLO ELEMENTARY SCHOOL</t>
  </si>
  <si>
    <t>ASTRONAUT HIGH SCHOOL</t>
  </si>
  <si>
    <t>ATLANTIS ELEMENTARY SCHOOL</t>
  </si>
  <si>
    <t>AUDUBON ELEMENTARY SCHOOL</t>
  </si>
  <si>
    <t>BAYSIDE HIGH SCHOOL</t>
  </si>
  <si>
    <t>BREVARD COUNTY JAIL COMPLEX</t>
  </si>
  <si>
    <t>BREVARD COUNTY JUVENILE DETENTION CENTER</t>
  </si>
  <si>
    <t>CAMBRIDGE ELEMENTARY MAGNET SCHOOL</t>
  </si>
  <si>
    <t>CAPE VIEW ELEMENTARY SCHOOL</t>
  </si>
  <si>
    <t>CENTER FOR DRUG FREE LIVING</t>
  </si>
  <si>
    <t>CENTRAL MIDDLE SCHOOL</t>
  </si>
  <si>
    <t>CHALLENGER 7 ELEMENTARY SCHOOL</t>
  </si>
  <si>
    <t>CHRISTA MCAULIFFE ELEMENTARY SCHOOL</t>
  </si>
  <si>
    <t>CLEARLAKE EDUCATIONAL FACILITY</t>
  </si>
  <si>
    <t>COCOA BEACH JUNIOR/SENIOR HIGH SCHOOL</t>
  </si>
  <si>
    <t>COCOA HIGH SCHOOL</t>
  </si>
  <si>
    <t>COLUMBIA ELEMENTARY SCHOOL</t>
  </si>
  <si>
    <t>COQUINA ELEMENTARY SCHOOL</t>
  </si>
  <si>
    <t>CROTON ELEMENTARY SCHOOL</t>
  </si>
  <si>
    <t>DELAURA MIDDLE SCHOOL</t>
  </si>
  <si>
    <t>DR. W.J. CREEL ELEMENTARY SCHOOL</t>
  </si>
  <si>
    <t>EAU GALLIE HIGH SCHOOL</t>
  </si>
  <si>
    <t>EDGEWOOD JR/SR HIGH SCHOOL</t>
  </si>
  <si>
    <t>ENDEAVOUR ELEMENTARY MAGNET</t>
  </si>
  <si>
    <t>ENTERPRISE ELEMENTARY SCHOOL</t>
  </si>
  <si>
    <t>ESE INFANTS AND TODDLERS</t>
  </si>
  <si>
    <t>FAIRGLEN ELEMENTARY SCHOOL</t>
  </si>
  <si>
    <t>FRANCES WALKER HALFWAY HOUSE</t>
  </si>
  <si>
    <t>FREEDOM 7 ELEMENTARY SCHOOL OF INTERNATIONAL STUDIES</t>
  </si>
  <si>
    <t>GEMINI ELEMENTARY SCHOOL</t>
  </si>
  <si>
    <t>GOLFVIEW ELEMENTARY MAGNET SCH</t>
  </si>
  <si>
    <t>HANS CHRISTIAN ANDERSEN ELEMENTARY</t>
  </si>
  <si>
    <t>HARBOR CITY ELEMENTARY SCHOOL</t>
  </si>
  <si>
    <t>HERBERT C. HOOVER MIDDLE SCHOOL</t>
  </si>
  <si>
    <t>HERITAGE HIGH SCHOOL</t>
  </si>
  <si>
    <t>IMPERIAL ESTATES ELEMENTARY SCHOOL</t>
  </si>
  <si>
    <t>INDIALANTIC ELEMENTARY SCHOOL</t>
  </si>
  <si>
    <t>JAMES MADISON MIDDLE SCHOOL</t>
  </si>
  <si>
    <t>JOHN F. TURNER, SENIOR ELEMENTARY</t>
  </si>
  <si>
    <t>JUPITER ELEMENTARY SCHOOL</t>
  </si>
  <si>
    <t>LEWIS CARROLL ELEMENTARY SCHOOL</t>
  </si>
  <si>
    <t>LOCKMAR ELEMENTARY SCHOOL</t>
  </si>
  <si>
    <t>LYNDON B. JOHNSON MIDDLE SCHOOL</t>
  </si>
  <si>
    <t>MANATEE ELEMENTARY</t>
  </si>
  <si>
    <t>MEADOWLANE INTERMEDIATE ELEMENTARY SCHOOL</t>
  </si>
  <si>
    <t>MEADOWLANE PRIMARY ELEMENTARY SCHOOL</t>
  </si>
  <si>
    <t>MELBOURNE SENIOR HIGH SCHOOL</t>
  </si>
  <si>
    <t>MERRITT ISLAND HIGH SCHOOL</t>
  </si>
  <si>
    <t>MILA ELEMENTARY SCHOOL</t>
  </si>
  <si>
    <t>MIMS ELEMENTARY SCHOOL</t>
  </si>
  <si>
    <t>NORTH/CENTRAL AREA ALTERNATIVE LEARNING CENTER</t>
  </si>
  <si>
    <t>OAK PARK ELEMENTARY SCHOOL</t>
  </si>
  <si>
    <t>OCEAN BREEZE ELEMENTARY SCHOOL</t>
  </si>
  <si>
    <t>OUTWARD BOUND</t>
  </si>
  <si>
    <t>PALM BAY ELEMENTARY SCHOOL</t>
  </si>
  <si>
    <t>PALM BAY MAGNET SENIOR HIGH SCHOOL</t>
  </si>
  <si>
    <t>PORT MALABAR ELEMENTARY SCHOOL</t>
  </si>
  <si>
    <t>QUEST ELEMENTARY SCHOOL</t>
  </si>
  <si>
    <t>RALPH M WILLIAMS JUNIOR ELEMENTARY</t>
  </si>
  <si>
    <t>RIVERVIEW SCHOOL</t>
  </si>
  <si>
    <t>RIVIERA ELEMENTARY SCHOOL</t>
  </si>
  <si>
    <t>ROBERT L. STEVENSON ELEMENTARY</t>
  </si>
  <si>
    <t>ROCKLEDGE SENIOR HIGH SCHOOL</t>
  </si>
  <si>
    <t>RONALD MCNAIR MAGNET MIDDLE</t>
  </si>
  <si>
    <t>ROY ALLEN ELEMENTARY SCHOOL</t>
  </si>
  <si>
    <t>SABAL ELEMENTARY SCHOOL</t>
  </si>
  <si>
    <t>SATELLITE SENIOR HIGH SCHOOL</t>
  </si>
  <si>
    <t>SATURN ELEMENTARY SCHOOL</t>
  </si>
  <si>
    <t>SEA PARK ELEMENTARY SCHOOL</t>
  </si>
  <si>
    <t>SOUTH AREA ALTERNATIVE LEARNING CENTER</t>
  </si>
  <si>
    <t>SOUTH AREA HEAD START</t>
  </si>
  <si>
    <t>SPACE COAST JUNIOR/SENIOR HIGH SCHOOL</t>
  </si>
  <si>
    <t>SPESSARD L. HOLLAND ELEMENTARY SCHOOL</t>
  </si>
  <si>
    <t>STONE MAGNET MIDDLE SCHOOL</t>
  </si>
  <si>
    <t>SUNTREE ELEMENTARY SCHOOL</t>
  </si>
  <si>
    <t>SURFSIDE ELEMENTARY SCHOOL</t>
  </si>
  <si>
    <t>THEODORE ROOSEVELT ELEMENTARY</t>
  </si>
  <si>
    <t>TITUSVILLE HIGH SCHOOL</t>
  </si>
  <si>
    <t>UNIVERSITY PARK ELEMENTARY SCHOOL</t>
  </si>
  <si>
    <t>VIERA HIGH SCHOOL</t>
  </si>
  <si>
    <t>W. MELBOURNE ELEMENTARY SCHOOL FOR SCIENCE</t>
  </si>
  <si>
    <t>WESTSHORE JUNIOR/SENIOR HIGH SCHOOL</t>
  </si>
  <si>
    <t>CALHOUN</t>
  </si>
  <si>
    <t>ALTHA PUBLIC SCHOOL</t>
  </si>
  <si>
    <t>BLOUNTSTOWN ELEMENTARY SCHOOL</t>
  </si>
  <si>
    <t>BLOUNTSTOWN HIGH SCHOOL</t>
  </si>
  <si>
    <t>BLOUNTSTOWN MIDDLE SCHOOL</t>
  </si>
  <si>
    <t>CALHOUN VIRTUAL  INSTRUCTION PROGRAM (DISTRICT PROVIDED)</t>
  </si>
  <si>
    <t>CALHOUN VIRTUAL INSTRUCTION PROGRAM</t>
  </si>
  <si>
    <t>CARR ELEMENTARY &amp; MIDDLE SCHOOL</t>
  </si>
  <si>
    <t>CHARLOTTE</t>
  </si>
  <si>
    <t>AMI KIDS CROSSROADS</t>
  </si>
  <si>
    <t>BAKER/HEAD START</t>
  </si>
  <si>
    <t>CHARLOTTE HARBOR SCHOOL</t>
  </si>
  <si>
    <t>CHARLOTTE HIGH SCHOOL</t>
  </si>
  <si>
    <t>CHARLOTTE TECHNICAL CENTER</t>
  </si>
  <si>
    <t>DEEP CREEK ELEMENTARY SCHOOL</t>
  </si>
  <si>
    <t>EAST ELEMENTARY SCHOOL</t>
  </si>
  <si>
    <t>KINGSWAY ELEMENTARY SCHOOL</t>
  </si>
  <si>
    <t>L. A. AINGER MIDDLE SCHOOL</t>
  </si>
  <si>
    <t>LEMON BAY HIGH SCHOOL</t>
  </si>
  <si>
    <t>MEADOW PARK ELEMENTARY SCHOOL</t>
  </si>
  <si>
    <t>MURDOCK MIDDLE SCHOOL</t>
  </si>
  <si>
    <t>MYAKKA RIVER ELEMENTARY SCHOOL</t>
  </si>
  <si>
    <t>NEIL ARMSTRONG ELEMENTARY SCHOOL</t>
  </si>
  <si>
    <t>PEACE RIVER ELEMENTARY SCHOOL</t>
  </si>
  <si>
    <t>PORT CHARLOTTE HIGH SCHOOL</t>
  </si>
  <si>
    <t>PORT CHARLOTTE MIDDLE SCHOOL</t>
  </si>
  <si>
    <t>PUNTA GORDA MIDDLE SCHOOL</t>
  </si>
  <si>
    <t>SALLIE JONES ELEMENTARY SCHOOL</t>
  </si>
  <si>
    <t>VINELAND ELEMENTARY SCHOOL</t>
  </si>
  <si>
    <t>CITRUS</t>
  </si>
  <si>
    <t>ACADEMY OF ENVIRON. SCIENCES</t>
  </si>
  <si>
    <t>CENTRAL RIDGE ELEMENTARY SCHOOL</t>
  </si>
  <si>
    <t>CITRUS COUNTY RENAISSANCE CENTER</t>
  </si>
  <si>
    <t>CITRUS HIGH SCHOOL</t>
  </si>
  <si>
    <t>CITRUS SPRINGS ELEMENTARY SCHOOL</t>
  </si>
  <si>
    <t>CITRUS SPRINGS MIDDLE SCHOOL</t>
  </si>
  <si>
    <t>CREST SCHOOL</t>
  </si>
  <si>
    <t>CRYSTAL RIVER HIGH SCHOOL</t>
  </si>
  <si>
    <t>CRYSTAL RIVER MIDDLE SCHOOL</t>
  </si>
  <si>
    <t>CRYSTAL RIVER PRIMARY SCHOOL</t>
  </si>
  <si>
    <t>FLORAL CITY ELEMENTARY SCHOOL</t>
  </si>
  <si>
    <t>FOREST RIDGE ELEMENTARY SCHOOL</t>
  </si>
  <si>
    <t>HERNANDO ELEMENTARY SCHOOL</t>
  </si>
  <si>
    <t>HOMOSASSA ELEMENTARY SCHOOL</t>
  </si>
  <si>
    <t>INVERNESS MIDDLE SCHOOL</t>
  </si>
  <si>
    <t>INVERNESS PRIMARY SCHOOL</t>
  </si>
  <si>
    <t>LECANTO HIGH SCHOOL</t>
  </si>
  <si>
    <t>LECANTO MIDDLE SCHOOL</t>
  </si>
  <si>
    <t>LECANTO PRIMARY SCHOOL</t>
  </si>
  <si>
    <t>ROCK CRUSHER ELEMENTARY SCHOOL</t>
  </si>
  <si>
    <t>WITHLACOOCHEE TECHNICAL COLLEGE</t>
  </si>
  <si>
    <t>CLAY</t>
  </si>
  <si>
    <t>ARGYLE ELEMENTARY SCHOOL</t>
  </si>
  <si>
    <t>CHARLES E. BENNETT ELEMENTARY SCHOOL</t>
  </si>
  <si>
    <t>CLAY COUNTY CENTER FOR ADULT &amp; COMMUNITY EDUCATION</t>
  </si>
  <si>
    <t>CLAY HIGH SCHOOL</t>
  </si>
  <si>
    <t>CLAY HILL ELEMENTARY SCHOOL</t>
  </si>
  <si>
    <t>CLAY VIRTUAL ACADEMY</t>
  </si>
  <si>
    <t>CLAY VIRTUAL FRANCHISE</t>
  </si>
  <si>
    <t>CLAY VIRTUAL INSTRUCTION PROGRAM</t>
  </si>
  <si>
    <t>COPPERGATE ELEMENTARY SCHOOL</t>
  </si>
  <si>
    <t>DOCTORS INLET ELEMENTARY SCHOOL</t>
  </si>
  <si>
    <t>FLEMING ISLAND ELEMENTARY SCHOOL</t>
  </si>
  <si>
    <t>FLEMING ISLAND HIGH SCHOOL</t>
  </si>
  <si>
    <t>FLORIDA VIRTUAL ACADEMY AT CLAY</t>
  </si>
  <si>
    <t>FLORIDA YOUTH CHALLENGE ACADEMY</t>
  </si>
  <si>
    <t>GREEN COVE SPRINGS JUNIOR HIGH SCHOOL</t>
  </si>
  <si>
    <t>GROVE PARK ELEMENTARY SCHOOL</t>
  </si>
  <si>
    <t>J.L. WILKINSON ELEMENTARY SCHOOL</t>
  </si>
  <si>
    <t>KEYSTONE HEIGHTS ELEMENTARY</t>
  </si>
  <si>
    <t>KEYSTONE HEIGHTS JUNIOR/SENIOR HIGH</t>
  </si>
  <si>
    <t>LAKE ASBURY ELEMENTARY SCHOOL</t>
  </si>
  <si>
    <t>LAKE ASBURY JUNIOR HIGH SCHOOL</t>
  </si>
  <si>
    <t>LAKESIDE JUNIOR HIGH SCHOOL</t>
  </si>
  <si>
    <t>MCRAE ELEMENTARY SCHOOL</t>
  </si>
  <si>
    <t>MIDDLEBURG ELEMENTARY SCHOOL</t>
  </si>
  <si>
    <t>MIDDLEBURG HIGH SCHOOL</t>
  </si>
  <si>
    <t>OAKLEAF HIGH SCHOOL</t>
  </si>
  <si>
    <t>OAKLEAF JUNIOR HIGH</t>
  </si>
  <si>
    <t>OAKLEAF VILLAGE ELEMENTARY SCHOOL</t>
  </si>
  <si>
    <t>ORANGE PARK ELEMENTARY SCHOOL</t>
  </si>
  <si>
    <t>ORANGE PARK HIGH SCHOOL</t>
  </si>
  <si>
    <t>ORANGE PARK JUNIOR HIGH SCHOOL</t>
  </si>
  <si>
    <t>ORANGE PARK PERFORMING ARTS ACADEMY (OPPAA)</t>
  </si>
  <si>
    <t>PLANTATION OAKS ELEMENTARY SCHOOL</t>
  </si>
  <si>
    <t>R. C. BANNERMAN LEARNING CENTER</t>
  </si>
  <si>
    <t>RIDEOUT ELEMENTARY SCHOOL</t>
  </si>
  <si>
    <t>RIDGEVIEW ELEMENTARY SCHOOL</t>
  </si>
  <si>
    <t>RIDGEVIEW HIGH SCHOOL</t>
  </si>
  <si>
    <t>ROBERT M. PATERSON ELEMENTARY</t>
  </si>
  <si>
    <t>S BRYAN JENNINGS ELEMENTARY SCHOOL</t>
  </si>
  <si>
    <t>SWIMMING PEN CREEK ELEMENTARY SCHOOL</t>
  </si>
  <si>
    <t>THUNDERBOLT ELEMENTARY SCHOOL</t>
  </si>
  <si>
    <t>TYNES ELEMENTARY SCHOOL</t>
  </si>
  <si>
    <t>W E CHERRY ELEMENTARY SCHOOL</t>
  </si>
  <si>
    <t>WILKINSON JUNIOR HIGH SCHOOL</t>
  </si>
  <si>
    <t>COLLIER</t>
  </si>
  <si>
    <t>AVALON ELEMENTARY SCHOOL</t>
  </si>
  <si>
    <t>BARRON COLLIER HIGH SCHOOL</t>
  </si>
  <si>
    <t>BEACON HIGH SCHOOL</t>
  </si>
  <si>
    <t>BIG CYPRESS ELEMENTARY SCHOOL</t>
  </si>
  <si>
    <t>CALUSA PARK ELEMENTARY SCHOOL</t>
  </si>
  <si>
    <t>CORKSCREW ELEMENTARY SCHOOL</t>
  </si>
  <si>
    <t>CORKSCREW MIDDLE SCHOOL</t>
  </si>
  <si>
    <t>CYPRESS PALM MIDDLE SCHOOL</t>
  </si>
  <si>
    <t>EAST NAPLES MIDDLE SCHOOL</t>
  </si>
  <si>
    <t>EDEN PARK ELEMENTARY SCHOOL</t>
  </si>
  <si>
    <t>ESTATES ELEMENTARY SCHOOL</t>
  </si>
  <si>
    <t>EVERGLADES CITY SCHOOL</t>
  </si>
  <si>
    <t>GOLDEN GATE ELEMENTARY SCHOOL</t>
  </si>
  <si>
    <t>GOLDEN GATE HIGH SCHOOL</t>
  </si>
  <si>
    <t>GOLDEN GATE MIDDLE SCHOOL</t>
  </si>
  <si>
    <t>GOLDEN TERRACE ELEMENTARY SCHOOL</t>
  </si>
  <si>
    <t>GULF COAST HIGH SCHOOL</t>
  </si>
  <si>
    <t>GULFVIEW MIDDLE SCHOOL</t>
  </si>
  <si>
    <t>IMMOKALEE COMMUNITY SCHOOL</t>
  </si>
  <si>
    <t>IMMOKALEE HIGH SCHOOL</t>
  </si>
  <si>
    <t>IMMOKALEE MIDDLE SCHOOL</t>
  </si>
  <si>
    <t>IMMOKALEE TECHNICAL CENTER</t>
  </si>
  <si>
    <t>LAKE PARK ELEMENTARY SCHOOL</t>
  </si>
  <si>
    <t>LAKE TRAFFORD ELEMENTARY SCHOOL</t>
  </si>
  <si>
    <t>LAUREL OAK ELEMENTARY SCHOOL</t>
  </si>
  <si>
    <t>LELY ELEMENTARY SCHOOL</t>
  </si>
  <si>
    <t>LELY HIGH SCHOOL</t>
  </si>
  <si>
    <t>LORENZO WALKER INSTITUTE OF TECHNOLOGY</t>
  </si>
  <si>
    <t>LORENZO WALKER TECHNICAL HIGH SCHOOL</t>
  </si>
  <si>
    <t>MANATEE ELEMENTARY SCHOOL</t>
  </si>
  <si>
    <t>MANATEE MIDDLE SCHOOL</t>
  </si>
  <si>
    <t>MARCO ISLAND CHARTER MIDDLE</t>
  </si>
  <si>
    <t>MIKE DAVIS ELEMENTARY SCHOOL</t>
  </si>
  <si>
    <t>NAPLES AREA TEENAGE PARENTING</t>
  </si>
  <si>
    <t>NAPLES HIGH SCHOOL</t>
  </si>
  <si>
    <t>NAPLES PARK ELEMENTARY SCHOOL</t>
  </si>
  <si>
    <t>NEW BEGINNINGS - NAPLES</t>
  </si>
  <si>
    <t>NEW BEGINNINGS IMMOKALEE</t>
  </si>
  <si>
    <t>NORTH NAPLES MIDDLE SCHOOL</t>
  </si>
  <si>
    <t>OAKRIDGE MIDDLE SCHOOL</t>
  </si>
  <si>
    <t>OSCEOLA ELEMENTARY SCHOOL</t>
  </si>
  <si>
    <t>PALMETTO RIDGE HIGH SCHOOL</t>
  </si>
  <si>
    <t>PELICAN MARSH ELEMENTARY SCHOOL</t>
  </si>
  <si>
    <t>PINE RIDGE MIDDLE SCHOOL</t>
  </si>
  <si>
    <t>POINCIANA ELEMENTARY SCHOOL</t>
  </si>
  <si>
    <t>SEA GATE ELEMENTARY SCHOOL</t>
  </si>
  <si>
    <t>THE PACE PROGRAM</t>
  </si>
  <si>
    <t>THE PHOENIX PROGRAM NAPLES</t>
  </si>
  <si>
    <t>THE PHOENIX PROGRAM-IMMOKALEE</t>
  </si>
  <si>
    <t>TOMMIE BARFIELD ELEMENTARY SCHOOL</t>
  </si>
  <si>
    <t>VETERANS MEMORIAL ELEMENTARY SCHOOL</t>
  </si>
  <si>
    <t>VILLAGE OAKS ELEMENTARY SCHOOL</t>
  </si>
  <si>
    <t>VINEYARDS ELEMENTARY SCHOOL</t>
  </si>
  <si>
    <t>DIXIE COUNTY HIGH SCHOOL</t>
  </si>
  <si>
    <t>JAMES M. ANDERSON ELEMENTARY SCHOOL</t>
  </si>
  <si>
    <t>OLD TOWN ELEMENTARY SCHOOL</t>
  </si>
  <si>
    <t>RUTH RAINS MIDDLE SCHOOL</t>
  </si>
  <si>
    <t>DIXIE</t>
  </si>
  <si>
    <t>FLAGLER</t>
  </si>
  <si>
    <t>BELLE TERRE ELEMENTARY SCHOOL</t>
  </si>
  <si>
    <t>BUDDY TAYLOR MIDDLE SCHOOL</t>
  </si>
  <si>
    <t>BUNNELL ELEMENTARY SCHOOL</t>
  </si>
  <si>
    <t>FLAGLER VIRTUAL INSTRUCTION PROGRAM</t>
  </si>
  <si>
    <t>FLAGLER-PALM COAST HIGH SCHOOL</t>
  </si>
  <si>
    <t>IFLAGLER-VIRTUAL FRANCHISE</t>
  </si>
  <si>
    <t>LEWIS E. WADSWORTH ELEMENTARY</t>
  </si>
  <si>
    <t>MATANZAS HIGH SCHOOL</t>
  </si>
  <si>
    <t>OLD KINGS ELEMENTARY SCHOOL</t>
  </si>
  <si>
    <t>RYMFIRE ELEMENTARY SCHOOL</t>
  </si>
  <si>
    <t>FRANKLIN</t>
  </si>
  <si>
    <t>FRANKLIN COUNTY LEARNING CENTER (ADULT DIVISON)</t>
  </si>
  <si>
    <t>GADSDEN</t>
  </si>
  <si>
    <t>BOLD STEP INFANT CARE</t>
  </si>
  <si>
    <t>CARTER PARRAMORE ACADEMY</t>
  </si>
  <si>
    <t>CHATTAHOOCHEE ELEMENTARY SCHOOL</t>
  </si>
  <si>
    <t>EAST GADSDEN HIGH SCHOOL</t>
  </si>
  <si>
    <t>GADSDEN ADULT &amp; COMMUNITY EDUCATION CENTER</t>
  </si>
  <si>
    <t>GADSDEN CENTRAL ACADEMY</t>
  </si>
  <si>
    <t>GADSDEN ELEMENTARY MAGNET SCHOOL</t>
  </si>
  <si>
    <t>GADSDEN TECHNICAL INSTITUTE</t>
  </si>
  <si>
    <t>GEORGE W. MUNROE ELEMENTARY SCHOOL</t>
  </si>
  <si>
    <t>GREENSBORO ELEMENTARY SCHOOL</t>
  </si>
  <si>
    <t>GRETNA ELEMENTARY SCHOOL</t>
  </si>
  <si>
    <t>HAVANA MAGNET SCHOOL</t>
  </si>
  <si>
    <t>HOPE ACADEMY</t>
  </si>
  <si>
    <t>JAMES A. SHANKS MIDDLE SCHOOL</t>
  </si>
  <si>
    <t>ST. JOHNS ELEMENTARY SCHOOL</t>
  </si>
  <si>
    <t>STEWART STREET ELEMENTARY SCHOOL</t>
  </si>
  <si>
    <t>WEST GADSDEN HIGH SCHOOL</t>
  </si>
  <si>
    <t>GILCHRIST</t>
  </si>
  <si>
    <t>BELL ELEMENTARY SCHOOL</t>
  </si>
  <si>
    <t>BELL HIGH SCHOOL</t>
  </si>
  <si>
    <t>TRENTON ELEMENTARY SCHOOL</t>
  </si>
  <si>
    <t>TRENTON HIGH SCHOOL</t>
  </si>
  <si>
    <t>MOORE HAVEN JUNIOR/SENIOR HIGH SCHOOL</t>
  </si>
  <si>
    <t>GULF</t>
  </si>
  <si>
    <t>GULF COUNTY ADULT SCHOOL</t>
  </si>
  <si>
    <t>PORT ST. JOE ELEMENTARY SCHOOL</t>
  </si>
  <si>
    <t>PORT ST. JOE HIGH SCHOOL</t>
  </si>
  <si>
    <t>WEWAHITCHKA ELEMENTARY SCHOOL</t>
  </si>
  <si>
    <t>WEWAHITCHKA HIGH SCHOOL</t>
  </si>
  <si>
    <t>HAMILTON</t>
  </si>
  <si>
    <t>CENTRAL HAMILTON ELEMENTARY SCHOOL</t>
  </si>
  <si>
    <t>GREENWOOD SCHOOL</t>
  </si>
  <si>
    <t>HAMILTON COUNTY HIGH SCHOOL</t>
  </si>
  <si>
    <t>HAMILTON VTAE SCHOOL</t>
  </si>
  <si>
    <t>NORTH HAMILTON ELEMENTARY SCHOOL</t>
  </si>
  <si>
    <t>SOUTH HAMILTON ELEMENTARY SCHOOL</t>
  </si>
  <si>
    <t>HARDEE</t>
  </si>
  <si>
    <t>ADULT/COMMUNITY EDUCATION</t>
  </si>
  <si>
    <t>BOWLING GREEN ELEMENTARY SCHOOL</t>
  </si>
  <si>
    <t>HARDEE JUNIOR HIGH SCHOOL</t>
  </si>
  <si>
    <t>HARDEE SENIOR HIGH SCHOOL</t>
  </si>
  <si>
    <t>HILLTOP ELEMENTARY SCHOOL</t>
  </si>
  <si>
    <t>NORTH WAUCHULA ELEMENTARY SCHOOL</t>
  </si>
  <si>
    <t>PIONEER CAREER ACADEMY</t>
  </si>
  <si>
    <t>WAUCHULA ELEMENTARY SCHOOL</t>
  </si>
  <si>
    <t>ZOLFO SPRINGS ELEMENTARY SCHOOL</t>
  </si>
  <si>
    <t>HENDRY</t>
  </si>
  <si>
    <t>CLEWISTON ADULT SCHOOL</t>
  </si>
  <si>
    <t>CLEWISTON HIGH SCHOOL</t>
  </si>
  <si>
    <t>CLEWISTON MIDDLE SCHOOL</t>
  </si>
  <si>
    <t>CLEWISTON YOUTH DEVELOPMENTAL ACADEMY</t>
  </si>
  <si>
    <t>COUNTRY OAKS ELEMENTARY SCHOOL</t>
  </si>
  <si>
    <t>COUNTY WIDE EXCEPTIONAL STUDENT EDUCATION</t>
  </si>
  <si>
    <t>EDWARD A. UPTHEGROVE ELEMENTARY</t>
  </si>
  <si>
    <t>LABELLE ADULT SCHOOL</t>
  </si>
  <si>
    <t>LABELLE ELEMENTARY SCHOOL</t>
  </si>
  <si>
    <t>LABELLE HIGH SCHOOL</t>
  </si>
  <si>
    <t>LABELLE MIDDLE SCHOOL</t>
  </si>
  <si>
    <t>LABELLE YOUTH DEVELOPMENTAL ACADEMY</t>
  </si>
  <si>
    <t>HIGHLANDS</t>
  </si>
  <si>
    <t>AVON ELEMENTARY SCHOOL</t>
  </si>
  <si>
    <t>AVON PARK HIGH SCHOOL</t>
  </si>
  <si>
    <t>AVON PARK MIDDLE SCHOOL</t>
  </si>
  <si>
    <t>CRACKER TRAIL ELEMENTARY SCHOOL</t>
  </si>
  <si>
    <t>FRED WILD ELEMENTARY SCHOOL</t>
  </si>
  <si>
    <t>HIGHLANDS VIRTUAL FRANCHISE</t>
  </si>
  <si>
    <t>HIGHLANDS VIRTUAL INSTRUCTION PROGRAM</t>
  </si>
  <si>
    <t>HILL-GUSTAT MIDDLE SCHOOL</t>
  </si>
  <si>
    <t>LAKE COUNTRY ELEMENTARY SCHOOL</t>
  </si>
  <si>
    <t>LAKE PLACID ELEMENTARY SCHOOL</t>
  </si>
  <si>
    <t>LAKE PLACID HIGH SCHOOL</t>
  </si>
  <si>
    <t>LAKE PLACID MIDDLE SCHOOL</t>
  </si>
  <si>
    <t>MEMORIAL ELEMENTARY SCHOOL</t>
  </si>
  <si>
    <t>PARK ELEMENTARY SCHOOL</t>
  </si>
  <si>
    <t>SEBRING HIGH SCHOOL</t>
  </si>
  <si>
    <t>SEBRING MIDDLE SCHOOL</t>
  </si>
  <si>
    <t>SUN 'N LAKE ELEMENTARY SCHOOL</t>
  </si>
  <si>
    <t>THE ACADEMY AT YOUTH CARE LANE</t>
  </si>
  <si>
    <t>THE KINDERGARTEN LEARNING CENTER</t>
  </si>
  <si>
    <t>WOODLAWN ELEMENTARY SCHOOL</t>
  </si>
  <si>
    <t>JACKSON</t>
  </si>
  <si>
    <t>COTTONDALE ELEMENTARY SCHOOL</t>
  </si>
  <si>
    <t>COTTONDALE HIGH SCHOOL</t>
  </si>
  <si>
    <t>DIST WIDE HOMEBOUND PROGRAM</t>
  </si>
  <si>
    <t>FRANK M. GOLSON ELEMENTARY SCHOOL</t>
  </si>
  <si>
    <t>GRACEVILLE ELEMENTARY SCHOOL</t>
  </si>
  <si>
    <t>GRACEVILLE HIGH SCHOOL</t>
  </si>
  <si>
    <t>GRAND RIDGE SCHOOL</t>
  </si>
  <si>
    <t>HOPE SCHOOL</t>
  </si>
  <si>
    <t>JACKSON ALTERNATIVE SCHOOL</t>
  </si>
  <si>
    <t>JACKSON COUNTY EARLY CHILDHOOD CENTER</t>
  </si>
  <si>
    <t>JACKSON VIRTUAL INSTRUCTION PROGRAM</t>
  </si>
  <si>
    <t>MALONE HIGH SCHOOL</t>
  </si>
  <si>
    <t>MARIANNA ADULT CENTER</t>
  </si>
  <si>
    <t>MARIANNA HIGH SCHOOL</t>
  </si>
  <si>
    <t>MARIANNA MIDDLE SCHOOL</t>
  </si>
  <si>
    <t>SNEADS ELEMENTARY SCHOOL</t>
  </si>
  <si>
    <t>SNEADS HIGH SCHOOL</t>
  </si>
  <si>
    <t>LAKE</t>
  </si>
  <si>
    <t>ALEE ACADEMY FULL CHARTER SCHOOL</t>
  </si>
  <si>
    <t>ASTATULA ELEMENTARY SCHOOL</t>
  </si>
  <si>
    <t>BEVERLY SHORES ELEMENTARY SCHOOL</t>
  </si>
  <si>
    <t>CARVER MIDDLE SCHOOL</t>
  </si>
  <si>
    <t>CECIL GRAY MIDDLE SCHOOL</t>
  </si>
  <si>
    <t>CLERMONT ELEMENTARY SCHOOL</t>
  </si>
  <si>
    <t>CLERMONT MIDDLE SCHOOL</t>
  </si>
  <si>
    <t>CYPRESS RIDGE ELEMENTARY SCHOOL</t>
  </si>
  <si>
    <t>EAST RIDGE HIGH SCHOOL</t>
  </si>
  <si>
    <t>EAST RIDGE MIDDLE SCHOOL</t>
  </si>
  <si>
    <t>EUSTIS ELEMENTARY SCHOOL</t>
  </si>
  <si>
    <t>EUSTIS HEIGHTS ELEMENTARY SCHOOL</t>
  </si>
  <si>
    <t>EUSTIS HIGH SCHOOL</t>
  </si>
  <si>
    <t>EUSTIS MIDDLE SCHOOL</t>
  </si>
  <si>
    <t>FRUITLAND PARK ELEMENTARY SCHOOL</t>
  </si>
  <si>
    <t>GRASSY LAKE ELEMENTARY SCHOOL</t>
  </si>
  <si>
    <t>GROVELAND ELEMENTARY SCHOOL</t>
  </si>
  <si>
    <t>LAKE HILLS SCHOOL</t>
  </si>
  <si>
    <t>LAKE MINNEOLA HIGH SCHOOL</t>
  </si>
  <si>
    <t>LAKE VIRTUAL FRANCHISE</t>
  </si>
  <si>
    <t>LEESBURG ELEMENTARY SCHOOL</t>
  </si>
  <si>
    <t>LEESBURG HIGH SCHOOL</t>
  </si>
  <si>
    <t>LOST LAKE ELEMENTARY SCHOOL</t>
  </si>
  <si>
    <t>MASCOTTE ELEMENTARY SCHOOL</t>
  </si>
  <si>
    <t>MINNEOLA ELEMENTARY CONVERSION CHARTER SCHOOL</t>
  </si>
  <si>
    <t>MT. DORA HIGH SCHOOL</t>
  </si>
  <si>
    <t>MT. DORA MIDDLE SCHOOL</t>
  </si>
  <si>
    <t>OAK PARK MIDDLE SCHOOL</t>
  </si>
  <si>
    <t>PINE RIDGE ELEMENTARY SCHOOL</t>
  </si>
  <si>
    <t>RIMES EARLY LEARNING &amp; LITERACY CENTER</t>
  </si>
  <si>
    <t>ROUND LAKE ELEMENTARY SCHOOL</t>
  </si>
  <si>
    <t>SAWGRASS BAY ELEMENTARY SCHOOL</t>
  </si>
  <si>
    <t>SEMINOLE SPRINGS ELEMENTARY SCHOOL</t>
  </si>
  <si>
    <t>SORRENTO ELEMENTARY</t>
  </si>
  <si>
    <t>SOUTH LAKE HIGH SCHOOL</t>
  </si>
  <si>
    <t>SPRING CREEK CHARTER SCHOOL</t>
  </si>
  <si>
    <t>TAVARES ELEMENTARY SCHOOL</t>
  </si>
  <si>
    <t>TAVARES HIGH SCHOOL</t>
  </si>
  <si>
    <t>TAVARES MIDDLE SCHOOL</t>
  </si>
  <si>
    <t>THE VILLAGES ELEMENTARY</t>
  </si>
  <si>
    <t>TREADWAY ELEMENTARY SCHOOL</t>
  </si>
  <si>
    <t>TRIANGLE ELEMENTARY SCHOOL</t>
  </si>
  <si>
    <t>UMATILLA ELEMENTARY SCHOOL</t>
  </si>
  <si>
    <t>UMATILLA HIGH SCHOOL</t>
  </si>
  <si>
    <t>UMATILLA MIDDLE SCHOOL</t>
  </si>
  <si>
    <t>WINDY HILL MIDDLE SCHOOL</t>
  </si>
  <si>
    <t>LIBERTY</t>
  </si>
  <si>
    <t>HOSFORD ELEMENTARY JUNIOR HIGH SCHOOL</t>
  </si>
  <si>
    <t>LIBERTY COUNTY ADULT SCHOOL</t>
  </si>
  <si>
    <t>LIBERTY COUNTY HIGH SCHOOL</t>
  </si>
  <si>
    <t>LIBERTY EARLY LEARNING CENTER</t>
  </si>
  <si>
    <t>LIBERTY LEARNING CENTER</t>
  </si>
  <si>
    <t>LIBERTY WILDERNESS CROSSROADS</t>
  </si>
  <si>
    <t>W. R. TOLAR K-8 SCHOOL</t>
  </si>
  <si>
    <t>MADISON</t>
  </si>
  <si>
    <t>GREENVILLE ELEMENTARY SCHOOL</t>
  </si>
  <si>
    <t>JOANN BRIDGE ACADEMY</t>
  </si>
  <si>
    <t>LEE ELEMENTARY SCHOOL</t>
  </si>
  <si>
    <t>MADISON COUNTY CENTRAL SCHOOL</t>
  </si>
  <si>
    <t>MADISON COUNTY EXCEL ALTERNATIVE CENTER</t>
  </si>
  <si>
    <t>MADISON COUNTY HIGH SCHOOL</t>
  </si>
  <si>
    <t>PINETTA ELEMENTARY SCHOOL</t>
  </si>
  <si>
    <t>PONCE DE LEON ELEMENTARY SCHOOL</t>
  </si>
  <si>
    <t>POPLAR SPRINGS HIGH SCHOOL</t>
  </si>
  <si>
    <t>ANNIE LUCY WILLIAMS ELEMENTARY SCHOOL</t>
  </si>
  <si>
    <t>BLANCHE H. DAUGHTREY ELEMENTARY</t>
  </si>
  <si>
    <t>ELECTA LEE MAGNET MIDDLE SCHOOL</t>
  </si>
  <si>
    <t>FLORINE J ABEL ELEMENTARY SCHOOL</t>
  </si>
  <si>
    <t>FRANCES WAKELAND ELEMENTARY SCHOOL</t>
  </si>
  <si>
    <t>GILBERT W MCNEAL ELEMENTARY SCHOOL</t>
  </si>
  <si>
    <t>IDA M. STEWART ELEMENTARY SCHOOL</t>
  </si>
  <si>
    <t>JAMES TILLMAN ELEMENTARY MAGNET SCHOOL</t>
  </si>
  <si>
    <t>JESSIE P. MILLER ELEMENTARY SCHOOL</t>
  </si>
  <si>
    <t>LOUISE R. JOHNSON MIDDLE SCHOOL</t>
  </si>
  <si>
    <t>MATZKE COMPLEX-FOOD SERVICE DEPARTMENT</t>
  </si>
  <si>
    <t>MATZKE COMPLEX-MAINTENANCE AND TRANSPORTATION</t>
  </si>
  <si>
    <t>MATZKE COMPLEX-WAREHOUSE, PURCHASING AND CONSTRUCTION SERVICES</t>
  </si>
  <si>
    <t>ORANGE RIDGE-BULLOCK ELEMENTARY</t>
  </si>
  <si>
    <t>ROBERT H. PRINE ELEMENTARY SCHOOL</t>
  </si>
  <si>
    <t>ROBERT WILLIS ELEMENTARY SCHOOL</t>
  </si>
  <si>
    <t>SARA SCOTT HARLLEE MIDDLE SCHOOL</t>
  </si>
  <si>
    <t>THE PROFESSIONAL SUPPORT CENTER</t>
  </si>
  <si>
    <t>ACADEMIC CONNECTIONS FOR EXCELLENCE</t>
  </si>
  <si>
    <t>KEY WEST MONTESSORI CHARTER SCHOOL, INC</t>
  </si>
  <si>
    <t>MARATHON SCHOOL</t>
  </si>
  <si>
    <t>MONROE JUVENILE DETENTION CENTER</t>
  </si>
  <si>
    <t>STANLEY SWITLIK ELEMENTARY SCHOOL</t>
  </si>
  <si>
    <t>SUGARLOAF SCHOOL</t>
  </si>
  <si>
    <t>TREASURE VILLAGE MONTESSORI CHARTER SCHOOL</t>
  </si>
  <si>
    <t>OKALOOSA</t>
  </si>
  <si>
    <t>ANNETTE P. EDWINS ELEMENTARY SCHOOL</t>
  </si>
  <si>
    <t>CHOCTAWHATCHEE SENIOR HIGH SCHOOL</t>
  </si>
  <si>
    <t>ELLIOTT POINT ELEMENTARY SCHOOL</t>
  </si>
  <si>
    <t>LIZA JACKSON PREPARATORY SCHOOL</t>
  </si>
  <si>
    <t>MAX BRUNER JUNIOR MIDDLE SCHOOL</t>
  </si>
  <si>
    <t>OKALOOSA YOUTH DEVELOPMENT CENTER</t>
  </si>
  <si>
    <t>RICHBOURG SCHOOL</t>
  </si>
  <si>
    <t>APOPKA HIGH</t>
  </si>
  <si>
    <t>BITHLO COMM PARK</t>
  </si>
  <si>
    <t>CENTRAL FLORIDA LEADERSHIP ACADEMY CHARTER</t>
  </si>
  <si>
    <t>COLONIAL HIGH</t>
  </si>
  <si>
    <t>DR. PHILLIPS HIGH</t>
  </si>
  <si>
    <t>GRAND AVENUE PRIMARY LEARNING CENTER</t>
  </si>
  <si>
    <t>MAGNOLIA</t>
  </si>
  <si>
    <t>NORTHLAKE PARK COMMUNITY ELEMENTARY</t>
  </si>
  <si>
    <t>OASIS PREPARATORY ACADEMY CHARTER</t>
  </si>
  <si>
    <t>OLYMPIA HIGH</t>
  </si>
  <si>
    <t>ORANGE COUNTY PREPARATORY ACADEMY CHARTER</t>
  </si>
  <si>
    <t>ORLANDO SCIENCE ELEMENTARY CHARTER</t>
  </si>
  <si>
    <t>ORLANDO SCIENCE MIDDLE HIGH CHARTER</t>
  </si>
  <si>
    <t>PROSPERITAS LEADERSHIP ACADEMY CHARTER</t>
  </si>
  <si>
    <t>RENAISSANCE CHARTER SCHOOL AT CHICKASAW TRAIL</t>
  </si>
  <si>
    <t>RENAISSANCE CHARTER SCHOOL AT HUNTERS CREEK</t>
  </si>
  <si>
    <t>SIMON YOUTH FOUND ACAD AT OUTLET MKTPLCE</t>
  </si>
  <si>
    <t>UCP TRANSITIONAL LEARNING ACADEMY HIGH CHARTER</t>
  </si>
  <si>
    <t>WHISPERING OAK ELEMENTARY SCHOOL</t>
  </si>
  <si>
    <t>WORKFORCE ADVANTAGE ACADEMY CHARTER</t>
  </si>
  <si>
    <t>ACREAGE PINES ELEMENTARY SCHOOL</t>
  </si>
  <si>
    <t>ADDISON MIZNER ELEMENTARY SCHOOL</t>
  </si>
  <si>
    <t>ADULT EDUCATION CENTER OF PALM BEACH</t>
  </si>
  <si>
    <t>ALEXANDER W DREYFOOS JUNIOR SCHOOL OF THE ARTS</t>
  </si>
  <si>
    <t>BEACON COVE INTERMEDIATE SCHOOL</t>
  </si>
  <si>
    <t>BENOIST FARMS ELEMENTARY SCHOOL</t>
  </si>
  <si>
    <t>BOCA RATON COMMUNITY HIGH SCHOOL</t>
  </si>
  <si>
    <t>BOCA RATON COMMUNITY MIDDLE SCHOOL</t>
  </si>
  <si>
    <t>CARP</t>
  </si>
  <si>
    <t>CHRISTA MCAULIFFE MIDDLE SCHOOL</t>
  </si>
  <si>
    <t>CLIFFORD O TAYLOR/KIRKLANE ELEMENTARY</t>
  </si>
  <si>
    <t>CONGRESS COMMUNITY MIDDLE SCHOOL</t>
  </si>
  <si>
    <t>CRYSTAL LAKES ELEMENTARY SCHOOL</t>
  </si>
  <si>
    <t>CYPRESS TRAILS ELEMENTARY SCHOOL</t>
  </si>
  <si>
    <t>DISCOVERY KEY ELEMENTARY SCHOOL</t>
  </si>
  <si>
    <t>DON ESTRIDGE HIGH TECH MIDDLE SCHOOL</t>
  </si>
  <si>
    <t>DR. MARY MCLEOD BETHUNE ELEMENTARY</t>
  </si>
  <si>
    <t>DWIGHT D. EISENHOWER ELEMENTARY SCHOOL</t>
  </si>
  <si>
    <t>ELBRIDGE GALE ELEMENTARY SCHOOL</t>
  </si>
  <si>
    <t>FOREST HILL COMMUNITY HIGH SCHOOL</t>
  </si>
  <si>
    <t>FREEDOM SHORES ELEMENTARY SCHOOL</t>
  </si>
  <si>
    <t>FULTON-HOLLAND EDUCATIONAL SERVICES CENTER</t>
  </si>
  <si>
    <t>GOLD COAST COMMUNITY SCHOOL</t>
  </si>
  <si>
    <t>GRASSY WATERS ELEMENTARY SCHOOL</t>
  </si>
  <si>
    <t>H. L. JOHNSON ELEMENTARY SCHOOL</t>
  </si>
  <si>
    <t>HAMMOCK POINTE ELEMENTARY SCHOOL</t>
  </si>
  <si>
    <t>HOPE-CENTENNIAL ELEMENTARY SCHOOL</t>
  </si>
  <si>
    <t>HOWELL L. WATKINS MIDDLE SCHOOL</t>
  </si>
  <si>
    <t>INLET GROVE COMMUNITY HIGH SCHOOL</t>
  </si>
  <si>
    <t>J. C. MITCHELL ELEMENTARY SCHOOL</t>
  </si>
  <si>
    <t>JUPITER FARMS ELEMENTARY SCHOOL</t>
  </si>
  <si>
    <t>K. E. CUNNINGHAM/CANAL POINT ELEMENTARY</t>
  </si>
  <si>
    <t>LIMESTONE CREEK ELEMENTARY SCHOOL</t>
  </si>
  <si>
    <t>LOGGERS' RUN COMMUNITY MIDDLE SCHOOL</t>
  </si>
  <si>
    <t>MORIKAMI PARK ELEMENTARY SCHOOL</t>
  </si>
  <si>
    <t>NORTH AREA ELEMENTARY TRANSITION SCHOOL</t>
  </si>
  <si>
    <t>NORTH TRANSPORTATION</t>
  </si>
  <si>
    <t>PALM BEACH GARDENS ELEMENTARY SCHOOL</t>
  </si>
  <si>
    <t>PALM BEACH JUVENILE CORRECTIONAL FACILITY</t>
  </si>
  <si>
    <t>PALM BEACH REGIONAL DETENTION CENTER</t>
  </si>
  <si>
    <t>PARK VISTA COMMUNITY HIGH SCHOOL</t>
  </si>
  <si>
    <t>PEW LEADERSHIP DEVLOPMENT CENTER</t>
  </si>
  <si>
    <t>PIERCE HAMMOCK ELEMENTARY SCHOOL</t>
  </si>
  <si>
    <t>PLEASANT CITY ELEMENTARY SCHOOL</t>
  </si>
  <si>
    <t>ROLLING GREEN ELEMENTARY SCHOOL</t>
  </si>
  <si>
    <t>ROYAL PALM BEACH ELEMENTARY SCHOOL</t>
  </si>
  <si>
    <t>ROYAL PALM SCHOOL</t>
  </si>
  <si>
    <t>SANDPIPER SHORES ELEMENTARY SCHOOL</t>
  </si>
  <si>
    <t>SEMINOLE RIDGE COMMUNITY HIGH SCHOOL</t>
  </si>
  <si>
    <t>SEMINOLE TRAILS ELEMENTARY SCHOOL</t>
  </si>
  <si>
    <t>SOUTH AREA SECONDARY INTENSIVE TRANSITION PROGRAM</t>
  </si>
  <si>
    <t>SPANISH RIVER COMMUNITY HIGH SCHOOL</t>
  </si>
  <si>
    <t>STARLIGHT COVE ELEMENTARY SCHOOL</t>
  </si>
  <si>
    <t>SUNCOAST COMMUNITY HIGH SCHOOL</t>
  </si>
  <si>
    <t>THE CONSERVATORY SCHOOL AT NORTH PALM BEACH</t>
  </si>
  <si>
    <t>U. B. KINSEY/PALMVIEW ELEMENTARY</t>
  </si>
  <si>
    <t>VILLAGE ACADEMY ON THE ART &amp; SARA JO KOBACKER CAMPUS</t>
  </si>
  <si>
    <t>WASHINGTON ELEMENTARY MAGNET SCHOOL</t>
  </si>
  <si>
    <t>WEST TECHNICAL EDUCATION CENTER</t>
  </si>
  <si>
    <t>AMI KIDS CENTER FOR PERSONAL GROWTH</t>
  </si>
  <si>
    <t>BAY VISTA FUNDAMENTAL ELEMENTARY SCHOOL</t>
  </si>
  <si>
    <t>BROOKER CREEK ELEMENTARY SCHOOL</t>
  </si>
  <si>
    <t>CAMPBELL PARK ELEMENTARY SCHOOL</t>
  </si>
  <si>
    <t>CLEARWATER ADULT EDUCATION CENTER</t>
  </si>
  <si>
    <t>CLEARWATER FUNDAMENTAL MIDDLE SCHOOL</t>
  </si>
  <si>
    <t>CYPRESS WOODS ELEMENTARY SCHOOL</t>
  </si>
  <si>
    <t>DIXIE HOLLINS ADULT EDUCATION CENTER</t>
  </si>
  <si>
    <t>DOUGLAS L. JAMERSON JR. ELEMENTARY</t>
  </si>
  <si>
    <t>EAST LAKE MIDDLE SCHOOL ACADEMY OF ENGINEERING</t>
  </si>
  <si>
    <t>FAIRMOUNT PARK ELEMENTARY SCHOOL</t>
  </si>
  <si>
    <t>GARRISON-JONES ELEMENTARY SCHOOL</t>
  </si>
  <si>
    <t>GIBBS HIGH SCHOOL</t>
  </si>
  <si>
    <t>GULF BEACHES ELEMENTARY MAGNET SCHOOL</t>
  </si>
  <si>
    <t>GULFPORT MONTESSOURI ELEMENTARY SCHOOL</t>
  </si>
  <si>
    <t>HAMILTON DISSTON SCHOOL</t>
  </si>
  <si>
    <t>HIGHLAND LAKES ELEMENTARY SCHOOL</t>
  </si>
  <si>
    <t>JOHN M. SEXTON ELEMENTARY SCHOOL</t>
  </si>
  <si>
    <t>JOSEPH L. CARWISE MIDDLE SCHOOL</t>
  </si>
  <si>
    <t>KINGS HIGHWAY ELEMENTARY MAGNET SCHOOL</t>
  </si>
  <si>
    <t>LAKE ST. GEORGE ELEMENTARY SCHOOL</t>
  </si>
  <si>
    <t>LAKEVIEW FUNDAMENTAL ELEMENTARY</t>
  </si>
  <si>
    <t>LARGO HIGH SCHOOL</t>
  </si>
  <si>
    <t>LEALMAN AVENUE ELEMENTARY SCHOOL</t>
  </si>
  <si>
    <t>MCMULLEN-BOOTH ELEMENTARY SCHOOL</t>
  </si>
  <si>
    <t>MILDRED HELMS ELEMENTARY SCHOOL</t>
  </si>
  <si>
    <t>PALM HARBOR COMMUNITY SCHOOL</t>
  </si>
  <si>
    <t>PASADENA FUNDAMENTAL ELEMENTARY SCHOOL</t>
  </si>
  <si>
    <t>PINELLAS CENTRAL ELEMENTARY SCHOOL</t>
  </si>
  <si>
    <t>PINELLAS PARK ELEMENTARY SCHOOL</t>
  </si>
  <si>
    <t>PINELLAS TECHNICAL COLLEGE - CLEARWATER</t>
  </si>
  <si>
    <t>PINELLAS TECHNICAL COLLEGE - ST PETERSBURG</t>
  </si>
  <si>
    <t>SAFETY HARBOR ELEMENTARY SCHOOL</t>
  </si>
  <si>
    <t>SAWGRASS LAKE ELEMENTARY SCHOOL</t>
  </si>
  <si>
    <t>TARPON SPRINGS ELEMENTARY SCHOOL</t>
  </si>
  <si>
    <t>TARPON SPRINGS HIGH SCHOOL</t>
  </si>
  <si>
    <t>TOMLINSON ADULT LEARNING CENTER</t>
  </si>
  <si>
    <t>PUTNAM</t>
  </si>
  <si>
    <t>ST. JOHNS</t>
  </si>
  <si>
    <t>BROWNING-PEARCE ELEMENTARY SCHOOL</t>
  </si>
  <si>
    <t>C. L. OVERTURF JR 6TH GRADE CENTER</t>
  </si>
  <si>
    <t>CRESCENT CITY JUNIOR/SENIOR HIGH SCHOOL</t>
  </si>
  <si>
    <t>GEORGE C. MILLER, JUNIOR INTERMEDIATE</t>
  </si>
  <si>
    <t>JAMES A. LONG ELEMENTARY SCHOOL</t>
  </si>
  <si>
    <t>MIDDLETON-BURNEY ELEMENTARY SCHOOL</t>
  </si>
  <si>
    <t>PALATKA HIGH SCHOOL</t>
  </si>
  <si>
    <t>Q.I. ROBERTS JR. - SR. HIGH SCHOOL</t>
  </si>
  <si>
    <t>ROBERT H. JENKINS, JUNIOR MIDDLE</t>
  </si>
  <si>
    <t>WILLIAM D. MOSELEY ELEMENTARY SCHOOL</t>
  </si>
  <si>
    <t>ALLEN D NEASE SENIOR HIGH SCHOOL</t>
  </si>
  <si>
    <t>BARTRAM TRAIL HIGH SCHOOL</t>
  </si>
  <si>
    <t>CUNNINGHAM CREEK ELEMENTARY SCHOOL</t>
  </si>
  <si>
    <t>HICKORY CREEK ELEMENTARY SCHOOL</t>
  </si>
  <si>
    <t>JULINGTON CREEK ELEMENTARY SCHOOL</t>
  </si>
  <si>
    <t>OTIS A. MASON ELEMENTARY SCHOOL</t>
  </si>
  <si>
    <t>PONTE VEDRA PALM VALLEY- RAWLINGS ELEMENTARY SCHOOL</t>
  </si>
  <si>
    <t>ST JOHNS COUNTY JUVENILE RESIDENTIAL</t>
  </si>
  <si>
    <t>ST JOHNS COUNTY TRANSITION PROGRAM</t>
  </si>
  <si>
    <t>ST. JOHNS TECHNICAL HIGH SCHOOL</t>
  </si>
  <si>
    <t>ST. JOHNS VIRTUAL INSTRUCTION PROGRAM K-8</t>
  </si>
  <si>
    <t>SWITZERLAND POINT MIDDLE SCHOOL</t>
  </si>
  <si>
    <t>TIMBERLIN CREEK ELEMENTARY SCHOOL</t>
  </si>
  <si>
    <t>SARASOTA</t>
  </si>
  <si>
    <t>SUMTER</t>
  </si>
  <si>
    <t>SUWANNEE</t>
  </si>
  <si>
    <t>TAYLOR</t>
  </si>
  <si>
    <t>ASHTON ELEMENTARY SCHOOL</t>
  </si>
  <si>
    <t>ATWATER ELEMENTARY</t>
  </si>
  <si>
    <t>BAY HAVEN SCHOOL OF BASICS PLUS</t>
  </si>
  <si>
    <t>BOOKER HIGH SCHOOL</t>
  </si>
  <si>
    <t>BOOKER MIDDLE SCHOOL</t>
  </si>
  <si>
    <t>BROOKSIDE MIDDLE SCHOOL</t>
  </si>
  <si>
    <t>CRANBERRY ELEMENTARY SCHOOL</t>
  </si>
  <si>
    <t>EMMA E. BOOKER ELEMENTARY SCHOOL</t>
  </si>
  <si>
    <t>FRUITVILLE ELEMENTARY SCHOOL</t>
  </si>
  <si>
    <t>GARDEN ELEMENTARY SCHOOL</t>
  </si>
  <si>
    <t>GLENALLEN ELEMENTARY SCHOOL</t>
  </si>
  <si>
    <t>GOCIO ELEMENTARY SCHOOL</t>
  </si>
  <si>
    <t>GULF GATE ELEMENTARY SCHOOL</t>
  </si>
  <si>
    <t>HERON CREEK MIDDLE SCHOOL</t>
  </si>
  <si>
    <t>LAMARQUE ELEMENTARY SCHOOL</t>
  </si>
  <si>
    <t>LAUREL NOKOMIS SCHOOL</t>
  </si>
  <si>
    <t>MCINTOSH MIDDLE SCHOOL</t>
  </si>
  <si>
    <t>NORTH PORT HIGH SCHOOL</t>
  </si>
  <si>
    <t>OAK PARK SCHOOL</t>
  </si>
  <si>
    <t>PHILLIPPI SHORES ELEMENTARY SCHOOL</t>
  </si>
  <si>
    <t>PINE VIEW SCHOOL</t>
  </si>
  <si>
    <t>RIVERVIEW HIGH SCHOOL</t>
  </si>
  <si>
    <t>SARASOTA HIGH SCHOOL</t>
  </si>
  <si>
    <t>SARASOTA MIDDLE SCHOOL</t>
  </si>
  <si>
    <t>SUNCOAST POLYTECHNICAL HIGH SCHOOL</t>
  </si>
  <si>
    <t>TATUM RIDGE ELEMENTARY SCHOOL</t>
  </si>
  <si>
    <t>TAYLOR RANCH ELEMENTARY SCHOOL</t>
  </si>
  <si>
    <t>TOLEDO BLADE ELEMENTARY SCHOOL</t>
  </si>
  <si>
    <t>TRIAD</t>
  </si>
  <si>
    <t>TUTTLE ELEMENTARY SCHOOL</t>
  </si>
  <si>
    <t>VENICE ELEMENTARY SCHOOL</t>
  </si>
  <si>
    <t>VENICE MIDDLE SCHOOL</t>
  </si>
  <si>
    <t>VENICE SENIOR HIGH SCHOOL</t>
  </si>
  <si>
    <t>WILKINSON ELEMENTARY SCHOOL</t>
  </si>
  <si>
    <t>WOODLAND MIDDLE SCHOOL</t>
  </si>
  <si>
    <t>BUSHNELL ELEMENTARY SCHOOL</t>
  </si>
  <si>
    <t>LAKE PANASOFFKEE ELEMENTARY SCHOOL</t>
  </si>
  <si>
    <t>SOUTH SUMTER HIGH SCHOOL</t>
  </si>
  <si>
    <t>SOUTH SUMTER MIDDLE SCHOOL</t>
  </si>
  <si>
    <t>SUMTER ALTERNATIVES</t>
  </si>
  <si>
    <t>SUMTER COUNTY ADULT CENTER</t>
  </si>
  <si>
    <t>SUMTER COUNTY VIRTUAL INSTRUCTION PROGRAM</t>
  </si>
  <si>
    <t>SUMTER DISTRICT OFFICE</t>
  </si>
  <si>
    <t>WEBSTER ELEMENTARY SCHOOL</t>
  </si>
  <si>
    <t>WILDWOOD ELEMENTARY SCHOOL</t>
  </si>
  <si>
    <t>WILDWOOD MIDDLE/ HIGH SCHOOL</t>
  </si>
  <si>
    <t>BRANFORD ELEMENTARY SCHOOL</t>
  </si>
  <si>
    <t>BRANFORD HIGH SCHOOL</t>
  </si>
  <si>
    <t>FLORIDA SHERIFF'S BOYS RANCH</t>
  </si>
  <si>
    <t>SUWANNEE DISTRICT OFFICE</t>
  </si>
  <si>
    <t>SUWANNEE ELEMENTARY SCHOOL</t>
  </si>
  <si>
    <t>SUWANNEE HIGH SCHOOL</t>
  </si>
  <si>
    <t>SUWANNEE INTERMEDIATE SCHOOL</t>
  </si>
  <si>
    <t>SUWANNEE MIDDLE SCHOOL</t>
  </si>
  <si>
    <t>SUWANNEE PRIMARY SCHOOL</t>
  </si>
  <si>
    <t>CHILD DEVELOPMENT CENTER</t>
  </si>
  <si>
    <t>PERRY PRIMARY SCHOOL</t>
  </si>
  <si>
    <t>STEINHATCHEE SCHOOL</t>
  </si>
  <si>
    <t>TAYLOR COUNTY ELEMENTARY SCHOOL</t>
  </si>
  <si>
    <t>TAYLOR COUNTY HIGH SCHOOL</t>
  </si>
  <si>
    <t>TAYLOR COUNTY MIDDLE SCHOOL</t>
  </si>
  <si>
    <t>TAYLOR TECHNICAL INSTITUTE</t>
  </si>
  <si>
    <t>WALTON</t>
  </si>
  <si>
    <t>BAY ELEMENTARY SCHOOL</t>
  </si>
  <si>
    <t>EMERALD COAST MIDDLE SCHOOL</t>
  </si>
  <si>
    <t>FREEPORT ELEMENTARY SCHOOL</t>
  </si>
  <si>
    <t>FREEPORT MIDDLE SCHOOL</t>
  </si>
  <si>
    <t>FREEPORT SENIOR HIGH SCHOOL</t>
  </si>
  <si>
    <t>MAUDE SAUNDERS ELEMENTARY SCHOOL</t>
  </si>
  <si>
    <t>MOSSY HEAD SCHOOL</t>
  </si>
  <si>
    <t>PAXTON SCHOOL</t>
  </si>
  <si>
    <t>SOUTH WALTON HIGH SCHOOL</t>
  </si>
  <si>
    <t>VAN R. BUTLER ELEMENTARY SCHOOL</t>
  </si>
  <si>
    <t>WALTON CAREER DEVELOPMENT CENTER - Name Changed to Emerald Coast Technical College</t>
  </si>
  <si>
    <t>WALTON HIGH SCHOOL</t>
  </si>
  <si>
    <t>WALTON MIDDLE SCHOOL</t>
  </si>
  <si>
    <t>WEST DEFUNIAK ELEMENTARY SCHOOL</t>
  </si>
  <si>
    <t>Students Eligible for Free /Reduced Meals                               (NSLP Count)</t>
  </si>
  <si>
    <t>CEP Base                          Year</t>
  </si>
  <si>
    <t>Total</t>
  </si>
  <si>
    <t>BAKER</t>
  </si>
  <si>
    <t>GLADES</t>
  </si>
  <si>
    <t>HOLMES</t>
  </si>
  <si>
    <t>LAFAYETTE</t>
  </si>
  <si>
    <t>LEE</t>
  </si>
  <si>
    <t>MANATEE</t>
  </si>
  <si>
    <t>MONROE</t>
  </si>
  <si>
    <t>ORANGE</t>
  </si>
  <si>
    <t>PALMBEACH</t>
  </si>
  <si>
    <t>PINELLAS</t>
  </si>
  <si>
    <t>ST. LUCIE</t>
  </si>
  <si>
    <t>Students Eligible for National School Lunch Program</t>
  </si>
  <si>
    <t>Category 1 Urban</t>
  </si>
  <si>
    <t>Category 1 Rural</t>
  </si>
  <si>
    <t>Category 2 Urban</t>
  </si>
  <si>
    <t>Category 2 Rural</t>
  </si>
  <si>
    <t>&lt; 1 %</t>
  </si>
  <si>
    <t>1-19 %</t>
  </si>
  <si>
    <t>20-34 %</t>
  </si>
  <si>
    <t>35-49 %</t>
  </si>
  <si>
    <t>50-74 %</t>
  </si>
  <si>
    <t>75-100%</t>
  </si>
  <si>
    <t>.</t>
  </si>
  <si>
    <r>
      <t xml:space="preserve">Total Students in School eligible for NSLP                                 </t>
    </r>
    <r>
      <rPr>
        <sz val="14"/>
        <color indexed="30"/>
        <rFont val="Calibri"/>
        <family val="2"/>
        <scheme val="minor"/>
      </rPr>
      <t>(Calculated)</t>
    </r>
  </si>
  <si>
    <r>
      <t xml:space="preserve">Percent Total NSLP            </t>
    </r>
    <r>
      <rPr>
        <sz val="14"/>
        <color rgb="FF0070C0"/>
        <rFont val="Calibri"/>
        <family val="2"/>
        <scheme val="minor"/>
      </rPr>
      <t>(Calculated)</t>
    </r>
  </si>
  <si>
    <t>District NSLP % (Calculated)</t>
  </si>
  <si>
    <t>*Please note the State did not populate Urban and Rural status for FY2016 and this discount percentage should not be considered final. Your discount percentage may change once this information has been updated in EPC.</t>
  </si>
  <si>
    <r>
      <t xml:space="preserve">Use the matrix below to calculate your </t>
    </r>
    <r>
      <rPr>
        <b/>
        <u/>
        <sz val="12"/>
        <color theme="0"/>
        <rFont val="Calibri"/>
        <family val="2"/>
        <scheme val="minor"/>
      </rPr>
      <t>District's Discount Percentage.</t>
    </r>
  </si>
  <si>
    <t>ADULT EDUCATION</t>
  </si>
  <si>
    <t>Bus Barn</t>
  </si>
  <si>
    <t>AMI KIDS PASCO</t>
  </si>
  <si>
    <t>ATHENIAN ACADEMY OF PASCO COUNTY</t>
  </si>
  <si>
    <t>CHESTER W. TAYLOR, JR. ELEMENTARY SCHOOL</t>
  </si>
  <si>
    <t>DOUBLE BRANCH ELEMENTARY SCHOOL</t>
  </si>
  <si>
    <t>DR. MARY GIELLA ELEMENTARY SCHOOL</t>
  </si>
  <si>
    <t>FIVAY HIGH SCHOOL</t>
  </si>
  <si>
    <t>GULF HIGH SCHOOL</t>
  </si>
  <si>
    <t>GULF HIGHLANDS ELEMENTARY SCHOOL</t>
  </si>
  <si>
    <t>HUDSON HIGH SCHOOL</t>
  </si>
  <si>
    <t>IMAGINE SCHOOL AT LAND O' LAKES</t>
  </si>
  <si>
    <t>JAMES M. MARLOWE ELEMENTARY SCHOOL</t>
  </si>
  <si>
    <t>JAMES W. MITCHELL HIGH ADULT EDUCATION</t>
  </si>
  <si>
    <t>MARCHMAN TECHNICAL EDUCATION CENTER</t>
  </si>
  <si>
    <t>MITTYE P. LOCKE ELEMENTARY SCHOOL</t>
  </si>
  <si>
    <t>PASCO HIGH SCHOOL</t>
  </si>
  <si>
    <t>PEPIN ACADEMIES OF PASCO COUNTY</t>
  </si>
  <si>
    <t>RAYMOND B. STEWART MIDDLE SCHOOL</t>
  </si>
  <si>
    <t>E. D. Manning Center</t>
  </si>
  <si>
    <t>Fred Sivia Center</t>
  </si>
  <si>
    <t>Horizon Center</t>
  </si>
  <si>
    <t>Kirby-Smith Center</t>
  </si>
  <si>
    <t>Prairie View</t>
  </si>
  <si>
    <t>POLK</t>
  </si>
  <si>
    <t>HIGHLANDS YOUTH ACADEMY</t>
  </si>
  <si>
    <t>Central Florida Aerospace Academy</t>
  </si>
  <si>
    <t>Valley Ridge Academy</t>
  </si>
  <si>
    <t>Patriot Oaks Academy</t>
  </si>
  <si>
    <t>Total Students               Enrolled                              (* indicates a school with &lt;10 students)</t>
  </si>
  <si>
    <t>VERO BEACH HIGH SCHOOL</t>
  </si>
  <si>
    <t>ALTERNATIVE CENTER FOR EDUCATION</t>
  </si>
  <si>
    <t>ROSEWOOD MAGNET SCHOOL</t>
  </si>
  <si>
    <t>OSCEOLA MAGNET SCHOOL</t>
  </si>
  <si>
    <t>BEACHLAND ELEMENTARY SCHOOL</t>
  </si>
  <si>
    <t>GIFFORD MIDDLE SCHOOL</t>
  </si>
  <si>
    <t>FELLSMERE ELEMENTARY SCHOOL</t>
  </si>
  <si>
    <t>PELICAN ISLAND ELEMENTARY SCHOOL</t>
  </si>
  <si>
    <t>WABASSO SCHOOL</t>
  </si>
  <si>
    <t>CITRUS ELEMENTARY SCHOOL</t>
  </si>
  <si>
    <t>DODGERTOWN ELEMENTARY SCHOOL</t>
  </si>
  <si>
    <t>VERO BEACH ELEMENTARY SCHOOL</t>
  </si>
  <si>
    <t>SEBASTIAN RIVER MIDDLE SCHOOL</t>
  </si>
  <si>
    <t>SEBASTIAN ELEMENTARY SCHOOL</t>
  </si>
  <si>
    <t>GLENDALE ELEMENTARY SCHOOL</t>
  </si>
  <si>
    <t>INDIAN RIVER ACADEMY</t>
  </si>
  <si>
    <t>OSLO MIDDLE SCHOOL</t>
  </si>
  <si>
    <t>SEBASTIAN RIVER HIGH SCHOOL</t>
  </si>
  <si>
    <t>LIBERTY MAGNET SCHOOL</t>
  </si>
  <si>
    <t>TREASURE COAST ELEMENTARY SCHOOL</t>
  </si>
  <si>
    <t>STORM GROVE MIDDLE SCHOOL</t>
  </si>
  <si>
    <t>Vero Beach Freshman Learning Center</t>
  </si>
  <si>
    <t>INDIAN RIVER</t>
  </si>
  <si>
    <t>ADAMS MIDDLE SCHOOL</t>
  </si>
  <si>
    <t>FOREST HILLS ELEMENTARY</t>
  </si>
  <si>
    <t>SPOTO HIGH SCHOOL</t>
  </si>
  <si>
    <t>SHEEHY ELEMENTARY</t>
  </si>
  <si>
    <t>GIUNTA MIDDLE SCHOOL</t>
  </si>
  <si>
    <t>CORR ELEMENTARY</t>
  </si>
  <si>
    <t>SHIELDS MIDDLE SCHOOL</t>
  </si>
  <si>
    <t>DAVIS ELEMENTARY</t>
  </si>
  <si>
    <t>FISHHAWK CREEK ELEMENTARY</t>
  </si>
  <si>
    <t>MACFARLANE PARK ELEM MAGNET</t>
  </si>
  <si>
    <t>CARVER EXCEPTIONAL CENTER</t>
  </si>
  <si>
    <t>COLLINS ELEMENTARY</t>
  </si>
  <si>
    <t>TURNER BARTELS K-8 SCHOOL</t>
  </si>
  <si>
    <t>FROST ELEMENTARY</t>
  </si>
  <si>
    <t>DOBY ELEMENTARY</t>
  </si>
  <si>
    <t>LENNARD HIGH SCHOOL</t>
  </si>
  <si>
    <t>SMITH MIDDLE SCHOOL</t>
  </si>
  <si>
    <t>ALEXANDER ELEMENTARY</t>
  </si>
  <si>
    <t>PIERCE MIDDLE SCHOOL</t>
  </si>
  <si>
    <t>SUMMERFIELD CROSSINGS ELEM</t>
  </si>
  <si>
    <t>STOWERS ELEMENTARY</t>
  </si>
  <si>
    <t>BARRINGTON MIDDLE SCHOOL</t>
  </si>
  <si>
    <t>STEINBRENNER HIGH SCHOOL</t>
  </si>
  <si>
    <t>BAILEY ELEMENTARY</t>
  </si>
  <si>
    <t>STRAWBERRY CREST HIGH SCHOOL</t>
  </si>
  <si>
    <t>DEER PARK ELEMENTARY</t>
  </si>
  <si>
    <t>HAMMOND ELEMENTARY</t>
  </si>
  <si>
    <t>REDDICK ELEMENTARY</t>
  </si>
  <si>
    <t>MOSI PARTNERSHIP ELEMENTARY</t>
  </si>
  <si>
    <t>KIMBELL ELEMENTARY</t>
  </si>
  <si>
    <t>ANDERSON ELEMENTARY</t>
  </si>
  <si>
    <t>USF/PATEL PARTNERSHIP</t>
  </si>
  <si>
    <t>SULLIVAN PARTNERSHIP ELEM</t>
  </si>
  <si>
    <t>THOMPSON ELEMENTARY</t>
  </si>
  <si>
    <t>LAMB ELEMENTARY</t>
  </si>
  <si>
    <t>ARMWOOD HIGH SCHOOL</t>
  </si>
  <si>
    <t>APOLLO BEACH ELEMENTARY</t>
  </si>
  <si>
    <t>ALONSO HIGH SCHOOL</t>
  </si>
  <si>
    <t>BALLAST POINT ELEMENTARY</t>
  </si>
  <si>
    <t>BAY CREST ELEMENTARY</t>
  </si>
  <si>
    <t>BENITO MIDDLE SCHOOL</t>
  </si>
  <si>
    <t>BING ELEMENTARY</t>
  </si>
  <si>
    <t>ALAFIA ELEMENTARY</t>
  </si>
  <si>
    <t>BLAKE HIGH SCHOOL</t>
  </si>
  <si>
    <t>JUST ELEMENTARY</t>
  </si>
  <si>
    <t>STEWART MIDDLE SCHOOL</t>
  </si>
  <si>
    <t>BRANDON HIGH SCHOOL</t>
  </si>
  <si>
    <t>BOYETTE SPRINGS ELEMENTARY</t>
  </si>
  <si>
    <t>MCLANE MIDDLE SCHOOL</t>
  </si>
  <si>
    <t>BEVIS ELEMENTARY</t>
  </si>
  <si>
    <t>WATERS CAREER CENTER</t>
  </si>
  <si>
    <t>SIMMONS CAREER CENTER</t>
  </si>
  <si>
    <t>BROOKER ELEMENTARY</t>
  </si>
  <si>
    <t>BROWARD ELEMENTARY</t>
  </si>
  <si>
    <t>BRYAN  PLANT CITY ELEMENTARY</t>
  </si>
  <si>
    <t>BRYANT ELEMENTARY</t>
  </si>
  <si>
    <t>BUCHANAN MIDDLE SCHOOL</t>
  </si>
  <si>
    <t>BUCKHORN ELEMENTARY</t>
  </si>
  <si>
    <t>BURNETT MIDDLE SCHOOL</t>
  </si>
  <si>
    <t>BURNEY ELEMENTARY</t>
  </si>
  <si>
    <t>BURNS MIDDLE SCHOOL</t>
  </si>
  <si>
    <t>CAHOON ELEMENTARY MAGNET</t>
  </si>
  <si>
    <t>VAN BUREN MIDDLE SCHOOL</t>
  </si>
  <si>
    <t>CANNELLA ELEMENTARY</t>
  </si>
  <si>
    <t>CARROLLWOOD ELEMENTARY</t>
  </si>
  <si>
    <t>CHAMBERLAIN HIGH SCHOOL</t>
  </si>
  <si>
    <t>CHIARAMONTE ELEMENTARY</t>
  </si>
  <si>
    <t>CHILES ELEMENTARY</t>
  </si>
  <si>
    <t>CITRUS PARK ELEMENTARY</t>
  </si>
  <si>
    <t>CIMINO ELEMENTARY</t>
  </si>
  <si>
    <t>CLAIR MEL ELEMENTARY</t>
  </si>
  <si>
    <t>DOWDELL MIDDLE SCHOOL</t>
  </si>
  <si>
    <t>CLARK ELEMENTARY</t>
  </si>
  <si>
    <t>CLAYWELL ELEMENTARY</t>
  </si>
  <si>
    <t>CLEVELAND ELEMENTARY</t>
  </si>
  <si>
    <t>COLEMAN MIDDLE SCHOOL</t>
  </si>
  <si>
    <t>COLSON ELEMENTARY</t>
  </si>
  <si>
    <t>LOCKHART ELEMENTARY MAGNET</t>
  </si>
  <si>
    <t>CORK ELEMENTARY</t>
  </si>
  <si>
    <t>CRESTWOOD ELEMENTARY</t>
  </si>
  <si>
    <t>CYPRESS CREEK ELEMENTARY</t>
  </si>
  <si>
    <t>DAVIDSEN MIDDLE SCHOOL</t>
  </si>
  <si>
    <t>DESOTO ELEMENTARY</t>
  </si>
  <si>
    <t>DICKENSON ELEMENTARY</t>
  </si>
  <si>
    <t>DOVER ELEMENTARY</t>
  </si>
  <si>
    <t>WILLIS PETERS EXCEPTIONAL CTR</t>
  </si>
  <si>
    <t>DUNBAR ELEMENTARY</t>
  </si>
  <si>
    <t>DURANT HIGH SCHOOL</t>
  </si>
  <si>
    <t>EAST BAY HIGH SCHOOL</t>
  </si>
  <si>
    <t>EISENHOWER MIDDLE SCHOOL</t>
  </si>
  <si>
    <t>EDISON ELEMENTARY</t>
  </si>
  <si>
    <t>EGYPT LAKE ELEMENTARY</t>
  </si>
  <si>
    <t>ESSRIG ELEMENTARY</t>
  </si>
  <si>
    <t>FARNELL MIDDLE SCHOOL</t>
  </si>
  <si>
    <t>FOLSOM ELEMENTARY</t>
  </si>
  <si>
    <t>FOSTER ELEMENTARY</t>
  </si>
  <si>
    <t>SLIGH MIDDLE SCHOOL</t>
  </si>
  <si>
    <t>FREEDOM HIGH SCHOOL</t>
  </si>
  <si>
    <t>FRANKLIN (BOYS) MIDDLE MAGNET</t>
  </si>
  <si>
    <t>GAITHER HIGH SCHOOL</t>
  </si>
  <si>
    <t>GIBSONTON ELEMENTARY</t>
  </si>
  <si>
    <t>GORRIE ELEMENTARY</t>
  </si>
  <si>
    <t>GRADY ELEMENTARY</t>
  </si>
  <si>
    <t>GRAHAM ELEMENTARY</t>
  </si>
  <si>
    <t>BELLAMY ELEMENTARY</t>
  </si>
  <si>
    <t>GRECO MIDDLE SCHOOL</t>
  </si>
  <si>
    <t>HERITAGE ELEMENTARY</t>
  </si>
  <si>
    <t>HILL MIDDLE SCHOOL</t>
  </si>
  <si>
    <t>HILLSBOROUGH HIGH SCHOOL</t>
  </si>
  <si>
    <t>HUNTER'S GREEN ELEMENTARY</t>
  </si>
  <si>
    <t>IPPOLITO ELEMENTARY</t>
  </si>
  <si>
    <t>JACKSON ELEMENTARY</t>
  </si>
  <si>
    <t>JENNINGS MIDDLE SCHOOL</t>
  </si>
  <si>
    <t>KENLY ELEMENTARY</t>
  </si>
  <si>
    <t>KING HIGH SCHOOL</t>
  </si>
  <si>
    <t>KINGSWOOD ELEMENTARY</t>
  </si>
  <si>
    <t>KNIGHTS ELEMENTARY</t>
  </si>
  <si>
    <t>LAKE MAGDALENE ELEMENTARY</t>
  </si>
  <si>
    <t>LANIER ELEMENTARY</t>
  </si>
  <si>
    <t>MONROE MIDDLE SCHOOL</t>
  </si>
  <si>
    <t>LEE ELEM.TECH./ WORLD STUDIES</t>
  </si>
  <si>
    <t>LETO HIGH SCHOOL</t>
  </si>
  <si>
    <t>LIMONA ELEMENTARY</t>
  </si>
  <si>
    <t>LINCOLN ELEMENTARY MAGNET</t>
  </si>
  <si>
    <t>LEWIS ELEMENTARY</t>
  </si>
  <si>
    <t>LITHIA SPRINGS ELEMENTARY</t>
  </si>
  <si>
    <t>LIBERTY MIDDLE SCHOOL</t>
  </si>
  <si>
    <t>LOMAX ELEMENTARY MAGNET</t>
  </si>
  <si>
    <t>LOPEZ ELEMENTARY</t>
  </si>
  <si>
    <t>LOPEZ EXCEPTIONAL CENTER</t>
  </si>
  <si>
    <t>LOWRY ELEMENTARY</t>
  </si>
  <si>
    <t>LUTZ ELEMENTARY</t>
  </si>
  <si>
    <t>MABRY ELEMENTARY</t>
  </si>
  <si>
    <t>MANGO ELEMENTARY</t>
  </si>
  <si>
    <t>MANISCALCO ELEMENTARY</t>
  </si>
  <si>
    <t>MANN MIDDLE SCHOOL</t>
  </si>
  <si>
    <t>MARSHALL MIDDLE SCHOOL</t>
  </si>
  <si>
    <t>MARTINEZ MIDDLE SCHOOL</t>
  </si>
  <si>
    <t>MCDONALD ELEMENTARY</t>
  </si>
  <si>
    <t>MEMORIAL MIDDLE SCHOOL</t>
  </si>
  <si>
    <t>MENDENHALL ELEMENTARY</t>
  </si>
  <si>
    <t>MENDEZ EXCEPTIONAL CENTER</t>
  </si>
  <si>
    <t>FERRELL (GIRLS) MIDDLE MAGNET</t>
  </si>
  <si>
    <t>MIDDLETON HIGH SCHOOL</t>
  </si>
  <si>
    <t>MILES ELEMENTARY</t>
  </si>
  <si>
    <t>MINTZ ELEMENTARY</t>
  </si>
  <si>
    <t>MITCHELL ELEMENTARY</t>
  </si>
  <si>
    <t>MCKITRICK ELEMENTARY</t>
  </si>
  <si>
    <t>MORGAN WOODS ELEMENTARY</t>
  </si>
  <si>
    <t>MORT ELEMENTARY</t>
  </si>
  <si>
    <t>MULRENNAN MIDDLE SCHOOL</t>
  </si>
  <si>
    <t>NELSON ELEMENTARY</t>
  </si>
  <si>
    <t>NORTHWEST ELEMENTARY</t>
  </si>
  <si>
    <t>OAK GROVE ELEMENTARY</t>
  </si>
  <si>
    <t>NEWSOME HIGH SCHOOL</t>
  </si>
  <si>
    <t>MULLER ELEMENTARY MAGNET</t>
  </si>
  <si>
    <t>OAK PARK ELEMENTARY</t>
  </si>
  <si>
    <t>ORANGE GROVE MIDDLE MAGNET</t>
  </si>
  <si>
    <t>PALM RIVER ELEMENTARY</t>
  </si>
  <si>
    <t>PINECREST ELEMENTARY</t>
  </si>
  <si>
    <t>PIZZO ELEMENTARY</t>
  </si>
  <si>
    <t>PLANT HIGH SCHOOL</t>
  </si>
  <si>
    <t>PLANT CITY HIGH SCHOOL</t>
  </si>
  <si>
    <t>PRIDE ELEMENTARY</t>
  </si>
  <si>
    <t>TOMLIN MIDDLE SCHOOL</t>
  </si>
  <si>
    <t>POTTER ELEMENTARY</t>
  </si>
  <si>
    <t>PROGRESS VILLAGE MIDDLE SCHOOL</t>
  </si>
  <si>
    <t>RANDALL MIDDLE SCHOOL</t>
  </si>
  <si>
    <t>RIVERHILLS ELEMENTARY MAGNET</t>
  </si>
  <si>
    <t>RIVERVIEW ELEMENTARY</t>
  </si>
  <si>
    <t>ROBINSON ELEMENTARY</t>
  </si>
  <si>
    <t>ROBINSON HIGH SCHOOL</t>
  </si>
  <si>
    <t>ROBLES ELEMENTARY</t>
  </si>
  <si>
    <t>RODGERS MIDDLE SCHOOL</t>
  </si>
  <si>
    <t>LAVOY EXCEPTIONAL CENTER</t>
  </si>
  <si>
    <t>JEFFERSON HIGH SCHOOL</t>
  </si>
  <si>
    <t>ROOSEVELT ELEMENTARY</t>
  </si>
  <si>
    <t>ROLAND PARK K-8 MAGNET</t>
  </si>
  <si>
    <t>RUSKIN ELEMENTARY</t>
  </si>
  <si>
    <t>SCHMIDT ELEMENTARY</t>
  </si>
  <si>
    <t>SCHWARZKOPF ELEMENTARY</t>
  </si>
  <si>
    <t>SEFFNER ELEMENTARY</t>
  </si>
  <si>
    <t>SEMINOLE ELEMENTARY</t>
  </si>
  <si>
    <t>SESSUMS ELEMENTARY</t>
  </si>
  <si>
    <t>SHAW ELEMENTARY</t>
  </si>
  <si>
    <t>SHORE ELEMENTARY</t>
  </si>
  <si>
    <t>SIMMONS EXCEPTIONAL CENTER</t>
  </si>
  <si>
    <t>BLOOMINGDALE HIGH SCHOOL</t>
  </si>
  <si>
    <t>SICKLES HIGH SCHOOL</t>
  </si>
  <si>
    <t>SOUTH COUNTY CAREER CENTER</t>
  </si>
  <si>
    <t>BOWERS-WHITLEY CAREER CENTER</t>
  </si>
  <si>
    <t>SPRINGHEAD ELEMENTARY</t>
  </si>
  <si>
    <t>SULPHUR SPRINGS K-8 COMMUNITY</t>
  </si>
  <si>
    <t>SUMMERFIELD ELEMENTARY</t>
  </si>
  <si>
    <t>SYMMES ELEMENTARY</t>
  </si>
  <si>
    <t>TAMPA BAY TECH HIGH SCHOOL</t>
  </si>
  <si>
    <t>TAMPA BAY BOULEVARD ELEMENTARY</t>
  </si>
  <si>
    <t>RAMPELLO DOWNTOWN PARTNERSHIP</t>
  </si>
  <si>
    <t>TAMPA PALMS ELEMENTARY</t>
  </si>
  <si>
    <t>TEMPLE TERRACE ELEMENTARY</t>
  </si>
  <si>
    <t>DOROTHY THOMAS</t>
  </si>
  <si>
    <t>NORTH TAMPA ALTERNATIVE SCHOOL</t>
  </si>
  <si>
    <t>BRANDON ALTERNATIVE SCHOOL</t>
  </si>
  <si>
    <t>THONOTOSASSA ELEMENTARY</t>
  </si>
  <si>
    <t>TINKER K-8 SCHOOL</t>
  </si>
  <si>
    <t>TOWN AND COUNTRY ELEMENTARY</t>
  </si>
  <si>
    <t>WEBB MIDDLE SCHOOL</t>
  </si>
  <si>
    <t>TRAPNELL ELEMENTARY</t>
  </si>
  <si>
    <t>TURKEY CREEK MIDDLE SCHOOL</t>
  </si>
  <si>
    <t>TWIN LAKES ELEMENTARY</t>
  </si>
  <si>
    <t>CAMINITI EXCEPTIONAL CENTER</t>
  </si>
  <si>
    <t>VALRICO ELEMENTARY</t>
  </si>
  <si>
    <t>WALDEN LAKE ELEMENTARY</t>
  </si>
  <si>
    <t>BT WASHINGTON ELEMENTARY</t>
  </si>
  <si>
    <t>WALKER MIDDLE MAGNET</t>
  </si>
  <si>
    <t>WESTCHASE ELEMENTARY</t>
  </si>
  <si>
    <t>WEST SHORE ELEMENTARY</t>
  </si>
  <si>
    <t>WEST TAMPA ELEMENTARY</t>
  </si>
  <si>
    <t>WHARTON HIGH SCHOOL</t>
  </si>
  <si>
    <t>WILLIAMS MIDDLE SCHOOL</t>
  </si>
  <si>
    <t>JAMES ELEMENTARY</t>
  </si>
  <si>
    <t>WILSON MIDDLE SCHOOL</t>
  </si>
  <si>
    <t>WILSON ELEMENTARY</t>
  </si>
  <si>
    <t>WIMAUMA ELEMENTARY</t>
  </si>
  <si>
    <t>WITTER ELEMENTARY</t>
  </si>
  <si>
    <t>WOODBRIDGE ELEMENTARY</t>
  </si>
  <si>
    <t>YATES ELEMENTARY</t>
  </si>
  <si>
    <t>YOUNG MIDDLE MAGNET</t>
  </si>
  <si>
    <t>Hillsborough</t>
  </si>
  <si>
    <t>Tigers Den Daycare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</si>
</sst>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0.0%"/>
    <numFmt numFmtId="165" formatCode="0.0%;\(0.0%\);&quot;- &quot;;_(@_)"/>
    <numFmt numFmtId="166" formatCode="[Red]#,##0_);[Red]\(#,##0\);[Green]General"/>
    <numFmt numFmtId="167" formatCode="#,##0.0_);\(#,##0.0\)"/>
    <numFmt numFmtId="168" formatCode="0.00_)"/>
  </numFmts>
  <fonts count="90">
    <font>
      <sz val="11"/>
      <color theme="1"/>
      <name val="Calibri"/>
      <family val="2"/>
      <scheme val="minor"/>
    </font>
    <font>
      <sz val="12"/>
      <color theme="1"/>
      <name val="Calibri"/>
      <family val="2"/>
      <scheme val="minor"/>
    </font>
    <font>
      <sz val="11"/>
      <color theme="1"/>
      <name val="Calibri"/>
      <family val="2"/>
      <scheme val="minor"/>
    </font>
    <font>
      <sz val="10"/>
      <name val="Arial"/>
      <family val="2"/>
    </font>
    <font>
      <u/>
      <sz val="11"/>
      <color theme="10"/>
      <name val="Calibri"/>
      <family val="2"/>
    </font>
    <font>
      <sz val="10"/>
      <name val="Arial"/>
      <family val="2"/>
    </font>
    <font>
      <sz val="11"/>
      <color indexed="62"/>
      <name val="Calibri"/>
      <family val="2"/>
    </font>
    <font>
      <sz val="10"/>
      <color rgb="FF000000"/>
      <name val="Times New Roman"/>
      <family val="1"/>
    </font>
    <font>
      <sz val="10"/>
      <name val="Times New Roman"/>
      <family val="1"/>
    </font>
    <font>
      <sz val="11"/>
      <color indexed="8"/>
      <name val="Calibri"/>
      <family val="2"/>
    </font>
    <font>
      <sz val="11"/>
      <color indexed="9"/>
      <name val="Calibri"/>
      <family val="2"/>
    </font>
    <font>
      <sz val="8"/>
      <name val="Times New Roman"/>
      <family val="1"/>
    </font>
    <font>
      <sz val="11"/>
      <color indexed="20"/>
      <name val="Calibri"/>
      <family val="2"/>
    </font>
    <font>
      <sz val="12"/>
      <name val="Times"/>
      <family val="1"/>
    </font>
    <font>
      <b/>
      <sz val="11"/>
      <color indexed="52"/>
      <name val="Calibri"/>
      <family val="2"/>
    </font>
    <font>
      <b/>
      <sz val="11"/>
      <color indexed="9"/>
      <name val="Calibri"/>
      <family val="2"/>
    </font>
    <font>
      <sz val="10"/>
      <name val="MS Serif"/>
      <family val="1"/>
    </font>
    <font>
      <sz val="10"/>
      <name val="Courier"/>
      <family val="3"/>
    </font>
    <font>
      <b/>
      <sz val="10"/>
      <name val="Times New Roman"/>
      <family val="1"/>
    </font>
    <font>
      <sz val="10"/>
      <color indexed="16"/>
      <name val="MS Serif"/>
      <family val="1"/>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b/>
      <sz val="8"/>
      <name val="MS Sans Serif"/>
      <family val="2"/>
    </font>
    <font>
      <sz val="12"/>
      <name val="Helv"/>
    </font>
    <font>
      <b/>
      <sz val="10"/>
      <name val="Book Antiqua"/>
      <family val="1"/>
    </font>
    <font>
      <sz val="11"/>
      <color indexed="52"/>
      <name val="Calibri"/>
      <family val="2"/>
    </font>
    <font>
      <sz val="12"/>
      <color indexed="9"/>
      <name val="Helv"/>
    </font>
    <font>
      <sz val="11"/>
      <color indexed="60"/>
      <name val="Calibri"/>
      <family val="2"/>
    </font>
    <font>
      <sz val="7"/>
      <name val="Small Fonts"/>
      <family val="2"/>
    </font>
    <font>
      <b/>
      <i/>
      <sz val="16"/>
      <name val="Helv"/>
    </font>
    <font>
      <sz val="10"/>
      <color indexed="8"/>
      <name val="MS Sans Serif"/>
      <family val="2"/>
    </font>
    <font>
      <sz val="10"/>
      <color theme="1"/>
      <name val="Arial"/>
      <family val="2"/>
    </font>
    <font>
      <sz val="11"/>
      <name val="‚l‚r –¾’©"/>
    </font>
    <font>
      <sz val="10"/>
      <name val="Book Antiqua"/>
      <family val="1"/>
    </font>
    <font>
      <b/>
      <sz val="11"/>
      <color indexed="63"/>
      <name val="Calibri"/>
      <family val="2"/>
    </font>
    <font>
      <b/>
      <sz val="9.9499999999999993"/>
      <color indexed="8"/>
      <name val="Arial"/>
      <family val="2"/>
    </font>
    <font>
      <sz val="10"/>
      <name val="Times"/>
      <family val="1"/>
    </font>
    <font>
      <sz val="10"/>
      <name val="MS Sans Serif"/>
      <family val="2"/>
    </font>
    <font>
      <b/>
      <sz val="10"/>
      <name val="MS Sans Serif"/>
      <family val="2"/>
    </font>
    <font>
      <sz val="8"/>
      <name val="Wingdings"/>
      <charset val="2"/>
    </font>
    <font>
      <sz val="8"/>
      <name val="Helv"/>
    </font>
    <font>
      <b/>
      <sz val="14"/>
      <name val="Arial Narrow"/>
      <family val="2"/>
    </font>
    <font>
      <sz val="8"/>
      <name val="MS Sans Serif"/>
      <family val="2"/>
    </font>
    <font>
      <b/>
      <sz val="8"/>
      <color indexed="8"/>
      <name val="Helv"/>
    </font>
    <font>
      <b/>
      <sz val="18"/>
      <color indexed="56"/>
      <name val="Cambria"/>
      <family val="2"/>
    </font>
    <font>
      <b/>
      <sz val="11"/>
      <color indexed="8"/>
      <name val="Calibri"/>
      <family val="2"/>
    </font>
    <font>
      <sz val="11"/>
      <color indexed="10"/>
      <name val="Calibri"/>
      <family val="2"/>
    </font>
    <font>
      <sz val="10"/>
      <name val="Arial"/>
      <family val="2"/>
    </font>
    <font>
      <sz val="12"/>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Arial"/>
      <family val="2"/>
    </font>
    <font>
      <b/>
      <i/>
      <sz val="11"/>
      <color rgb="FF000000"/>
      <name val="Arial"/>
      <family val="2"/>
    </font>
    <font>
      <b/>
      <sz val="11"/>
      <color theme="0"/>
      <name val="Arial"/>
      <family val="2"/>
    </font>
    <font>
      <b/>
      <sz val="10"/>
      <color theme="0"/>
      <name val="Arial"/>
      <family val="2"/>
    </font>
    <font>
      <b/>
      <sz val="12"/>
      <color theme="0"/>
      <name val="Calibri"/>
      <family val="2"/>
      <scheme val="minor"/>
    </font>
    <font>
      <b/>
      <u/>
      <sz val="12"/>
      <color theme="0"/>
      <name val="Calibri"/>
      <family val="2"/>
      <scheme val="minor"/>
    </font>
    <font>
      <b/>
      <sz val="14"/>
      <color theme="0"/>
      <name val="Calibri"/>
      <family val="2"/>
      <scheme val="minor"/>
    </font>
    <font>
      <sz val="14"/>
      <color theme="0"/>
      <name val="Calibri"/>
      <family val="2"/>
      <scheme val="minor"/>
    </font>
    <font>
      <b/>
      <sz val="14"/>
      <name val="Calibri"/>
      <family val="2"/>
      <scheme val="minor"/>
    </font>
    <font>
      <sz val="14"/>
      <color indexed="30"/>
      <name val="Calibri"/>
      <family val="2"/>
      <scheme val="minor"/>
    </font>
    <font>
      <sz val="14"/>
      <color rgb="FF0070C0"/>
      <name val="Calibri"/>
      <family val="2"/>
      <scheme val="minor"/>
    </font>
    <font>
      <b/>
      <sz val="18"/>
      <color theme="3"/>
      <name val="Cambria"/>
      <family val="2"/>
      <scheme val="major"/>
    </font>
    <font>
      <sz val="11"/>
      <color theme="4" tint="-0.249977111117893"/>
      <name val="Calibri"/>
      <family val="2"/>
      <scheme val="minor"/>
    </font>
    <font>
      <sz val="11"/>
      <color rgb="FF000000"/>
      <name val="Calibri"/>
      <family val="2"/>
      <scheme val="minor"/>
    </font>
    <font>
      <sz val="11"/>
      <color indexed="8"/>
      <name val="Calibri"/>
      <family val="2"/>
      <scheme val="minor"/>
    </font>
  </fonts>
  <fills count="73">
    <fill>
      <patternFill patternType="none"/>
    </fill>
    <fill>
      <patternFill patternType="gray125"/>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79998168889431442"/>
        <bgColor rgb="FFFFFF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9F9F9"/>
        <bgColor indexed="64"/>
      </patternFill>
    </fill>
    <fill>
      <patternFill patternType="solid">
        <fgColor theme="4" tint="-0.249977111117893"/>
        <bgColor indexed="64"/>
      </patternFill>
    </fill>
    <fill>
      <patternFill patternType="solid">
        <fgColor theme="7" tint="0.79998168889431442"/>
        <bgColor rgb="FF000000"/>
      </patternFill>
    </fill>
    <fill>
      <patternFill patternType="solid">
        <fgColor rgb="FFF1F6D6"/>
        <bgColor indexed="64"/>
      </patternFill>
    </fill>
    <fill>
      <patternFill patternType="solid">
        <fgColor rgb="FFF1F6D6"/>
        <bgColor theme="4" tint="0.79998168889431442"/>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dotted">
        <color auto="1"/>
      </bottom>
      <diagonal/>
    </border>
    <border>
      <left style="thin">
        <color indexed="63"/>
      </left>
      <right style="thin">
        <color indexed="63"/>
      </right>
      <top style="thin">
        <color indexed="63"/>
      </top>
      <bottom style="thin">
        <color indexed="63"/>
      </bottom>
      <diagonal/>
    </border>
    <border>
      <left style="thick">
        <color auto="1"/>
      </left>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F5F4F3"/>
      </left>
      <right/>
      <top/>
      <bottom style="medium">
        <color rgb="FFF5F4F3"/>
      </bottom>
      <diagonal/>
    </border>
    <border>
      <left/>
      <right/>
      <top/>
      <bottom style="medium">
        <color rgb="FFF5F4F3"/>
      </bottom>
      <diagonal/>
    </border>
    <border>
      <left style="medium">
        <color rgb="FFF5F4F3"/>
      </left>
      <right/>
      <top/>
      <bottom/>
      <diagonal/>
    </border>
    <border>
      <left style="thin">
        <color indexed="64"/>
      </left>
      <right style="thin">
        <color indexed="64"/>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medium">
        <color indexed="64"/>
      </top>
      <bottom style="medium">
        <color indexed="64"/>
      </bottom>
      <diagonal/>
    </border>
  </borders>
  <cellStyleXfs count="1299">
    <xf numFmtId="0" fontId="0" fillId="0" borderId="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2" fillId="0" borderId="0"/>
    <xf numFmtId="0" fontId="2" fillId="0" borderId="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3" fillId="0" borderId="0" applyNumberFormat="0" applyFill="0" applyBorder="0" applyAlignment="0" applyProtection="0"/>
    <xf numFmtId="0" fontId="2" fillId="0" borderId="0"/>
    <xf numFmtId="43" fontId="2" fillId="0" borderId="0" applyFont="0" applyFill="0" applyBorder="0" applyAlignment="0" applyProtection="0"/>
    <xf numFmtId="0" fontId="3" fillId="0" borderId="0"/>
    <xf numFmtId="164" fontId="8" fillId="0" borderId="0" applyFont="0" applyFill="0" applyBorder="0" applyAlignment="0" applyProtection="0"/>
    <xf numFmtId="165" fontId="8"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0" borderId="0">
      <alignment horizontal="center" wrapText="1"/>
      <protection locked="0"/>
    </xf>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xf numFmtId="0" fontId="3" fillId="0" borderId="0" applyFill="0" applyBorder="0" applyAlignment="0"/>
    <xf numFmtId="0" fontId="14" fillId="21" borderId="1" applyNumberFormat="0" applyAlignment="0" applyProtection="0"/>
    <xf numFmtId="0" fontId="14" fillId="21" borderId="1" applyNumberFormat="0" applyAlignment="0" applyProtection="0"/>
    <xf numFmtId="0" fontId="14" fillId="21" borderId="1" applyNumberFormat="0" applyAlignment="0" applyProtection="0"/>
    <xf numFmtId="166" fontId="8" fillId="0" borderId="0" applyFont="0" applyFill="0" applyBorder="0" applyAlignment="0" applyProtection="0"/>
    <xf numFmtId="0" fontId="15" fillId="22" borderId="2" applyNumberFormat="0" applyAlignment="0" applyProtection="0"/>
    <xf numFmtId="0" fontId="15" fillId="22" borderId="2" applyNumberFormat="0" applyAlignment="0" applyProtection="0"/>
    <xf numFmtId="0" fontId="15" fillId="22" borderId="2" applyNumberFormat="0" applyAlignment="0" applyProtection="0"/>
    <xf numFmtId="0" fontId="16" fillId="0" borderId="0" applyNumberFormat="0" applyAlignment="0">
      <alignment horizontal="left"/>
    </xf>
    <xf numFmtId="0" fontId="17" fillId="0" borderId="0" applyNumberFormat="0" applyAlignment="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4" fontId="18" fillId="0" borderId="0" applyFont="0" applyFill="0" applyBorder="0" applyAlignment="0" applyProtection="0"/>
    <xf numFmtId="0" fontId="19" fillId="0" borderId="0" applyNumberFormat="0" applyAlignment="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38" fontId="22" fillId="23" borderId="0" applyNumberFormat="0" applyBorder="0" applyAlignment="0" applyProtection="0"/>
    <xf numFmtId="0" fontId="23" fillId="0" borderId="3" applyNumberFormat="0" applyAlignment="0" applyProtection="0">
      <alignment horizontal="left" vertical="center"/>
    </xf>
    <xf numFmtId="0" fontId="23" fillId="0" borderId="4">
      <alignment horizontal="left" vertical="center"/>
    </xf>
    <xf numFmtId="0" fontId="23" fillId="0" borderId="4">
      <alignment horizontal="left" vertical="center"/>
    </xf>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lignment horizontal="center"/>
    </xf>
    <xf numFmtId="0" fontId="27" fillId="0" borderId="8">
      <alignment horizontal="center"/>
    </xf>
    <xf numFmtId="0" fontId="27" fillId="0" borderId="0">
      <alignment horizontal="center"/>
    </xf>
    <xf numFmtId="10" fontId="22" fillId="24" borderId="9" applyNumberFormat="0" applyBorder="0" applyAlignment="0" applyProtection="0"/>
    <xf numFmtId="0" fontId="6" fillId="8" borderId="1" applyNumberFormat="0" applyAlignment="0" applyProtection="0"/>
    <xf numFmtId="0" fontId="6" fillId="8" borderId="1" applyNumberFormat="0" applyAlignment="0" applyProtection="0"/>
    <xf numFmtId="0" fontId="6" fillId="8" borderId="1" applyNumberFormat="0" applyAlignment="0" applyProtection="0"/>
    <xf numFmtId="167" fontId="28" fillId="25" borderId="0"/>
    <xf numFmtId="0" fontId="29" fillId="0" borderId="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167" fontId="31" fillId="26"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37" fontId="33" fillId="0" borderId="0"/>
    <xf numFmtId="168" fontId="3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5"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6" fillId="0" borderId="0"/>
    <xf numFmtId="0" fontId="36" fillId="0" borderId="0"/>
    <xf numFmtId="0" fontId="36" fillId="0" borderId="0"/>
    <xf numFmtId="0" fontId="36" fillId="0" borderId="0"/>
    <xf numFmtId="0" fontId="35" fillId="0" borderId="0"/>
    <xf numFmtId="0" fontId="36" fillId="0" borderId="0"/>
    <xf numFmtId="0" fontId="35" fillId="0" borderId="0"/>
    <xf numFmtId="0" fontId="35" fillId="0" borderId="0"/>
    <xf numFmtId="0" fontId="2" fillId="0" borderId="0"/>
    <xf numFmtId="0" fontId="2" fillId="0" borderId="0"/>
    <xf numFmtId="0" fontId="36"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28" borderId="11" applyNumberFormat="0" applyFont="0" applyAlignment="0" applyProtection="0"/>
    <xf numFmtId="0" fontId="3" fillId="28" borderId="11" applyNumberFormat="0" applyFont="0" applyAlignment="0" applyProtection="0"/>
    <xf numFmtId="0" fontId="3" fillId="28" borderId="11" applyNumberFormat="0" applyFont="0" applyAlignment="0" applyProtection="0"/>
    <xf numFmtId="40" fontId="37" fillId="0" borderId="0" applyFont="0" applyFill="0" applyBorder="0" applyAlignment="0" applyProtection="0"/>
    <xf numFmtId="38" fontId="37" fillId="0" borderId="0" applyFont="0" applyFill="0" applyBorder="0" applyAlignment="0" applyProtection="0"/>
    <xf numFmtId="0" fontId="38" fillId="0" borderId="12"/>
    <xf numFmtId="0" fontId="39" fillId="21" borderId="13" applyNumberFormat="0" applyAlignment="0" applyProtection="0"/>
    <xf numFmtId="0" fontId="39" fillId="21" borderId="13" applyNumberFormat="0" applyAlignment="0" applyProtection="0"/>
    <xf numFmtId="0" fontId="39" fillId="21" borderId="13" applyNumberFormat="0" applyAlignment="0" applyProtection="0"/>
    <xf numFmtId="14" fontId="11" fillId="0" borderId="0">
      <alignment horizontal="center" wrapText="1"/>
      <protection locked="0"/>
    </xf>
    <xf numFmtId="10" fontId="3" fillId="0" borderId="0" applyFont="0" applyFill="0" applyBorder="0" applyAlignment="0" applyProtection="0"/>
    <xf numFmtId="10"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5" fontId="41" fillId="0" borderId="0"/>
    <xf numFmtId="0" fontId="42" fillId="0" borderId="0" applyNumberFormat="0" applyFont="0" applyFill="0" applyBorder="0" applyAlignment="0" applyProtection="0">
      <alignment horizontal="left"/>
    </xf>
    <xf numFmtId="0" fontId="43" fillId="0" borderId="8">
      <alignment horizontal="center"/>
    </xf>
    <xf numFmtId="0" fontId="43" fillId="0" borderId="8">
      <alignment horizontal="center"/>
    </xf>
    <xf numFmtId="0" fontId="44" fillId="29" borderId="0" applyNumberFormat="0" applyFont="0" applyBorder="0" applyAlignment="0">
      <alignment horizontal="center"/>
    </xf>
    <xf numFmtId="0" fontId="45" fillId="0" borderId="0" applyNumberFormat="0" applyFill="0" applyBorder="0" applyAlignment="0" applyProtection="0">
      <alignment horizontal="left"/>
    </xf>
    <xf numFmtId="0" fontId="46" fillId="0" borderId="14"/>
    <xf numFmtId="0" fontId="44" fillId="1" borderId="4" applyNumberFormat="0" applyFont="0" applyAlignment="0">
      <alignment horizontal="center"/>
    </xf>
    <xf numFmtId="0" fontId="44" fillId="1" borderId="4" applyNumberFormat="0" applyFont="0" applyAlignment="0">
      <alignment horizontal="center"/>
    </xf>
    <xf numFmtId="0" fontId="47" fillId="0" borderId="0" applyNumberFormat="0" applyFill="0" applyBorder="0" applyAlignment="0">
      <alignment horizontal="center"/>
    </xf>
    <xf numFmtId="40" fontId="48" fillId="0" borderId="0" applyBorder="0">
      <alignment horizontal="right"/>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52" fillId="0" borderId="0"/>
    <xf numFmtId="9" fontId="3" fillId="0" borderId="0" applyFont="0" applyFill="0" applyBorder="0" applyAlignment="0" applyProtection="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0" fontId="52" fillId="0" borderId="0"/>
    <xf numFmtId="9" fontId="3" fillId="0" borderId="0" applyFont="0" applyFill="0" applyBorder="0" applyAlignment="0" applyProtection="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9" fontId="3" fillId="0" borderId="0" applyFont="0" applyFill="0" applyBorder="0" applyAlignment="0" applyProtection="0"/>
    <xf numFmtId="0" fontId="5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52" fillId="0" borderId="0"/>
    <xf numFmtId="9"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8" fillId="0" borderId="0" applyNumberFormat="0" applyFill="0" applyBorder="0" applyAlignment="0" applyProtection="0"/>
    <xf numFmtId="0" fontId="59" fillId="0" borderId="16" applyNumberFormat="0" applyFill="0" applyAlignment="0" applyProtection="0"/>
    <xf numFmtId="0" fontId="60" fillId="0" borderId="17" applyNumberFormat="0" applyFill="0" applyAlignment="0" applyProtection="0"/>
    <xf numFmtId="0" fontId="61" fillId="0" borderId="18" applyNumberFormat="0" applyFill="0" applyAlignment="0" applyProtection="0"/>
    <xf numFmtId="0" fontId="61" fillId="0" borderId="0" applyNumberFormat="0" applyFill="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0" applyNumberFormat="0" applyBorder="0" applyAlignment="0" applyProtection="0"/>
    <xf numFmtId="0" fontId="65" fillId="34" borderId="19" applyNumberFormat="0" applyAlignment="0" applyProtection="0"/>
    <xf numFmtId="0" fontId="66" fillId="35" borderId="20" applyNumberFormat="0" applyAlignment="0" applyProtection="0"/>
    <xf numFmtId="0" fontId="67" fillId="35" borderId="19" applyNumberFormat="0" applyAlignment="0" applyProtection="0"/>
    <xf numFmtId="0" fontId="68" fillId="0" borderId="21" applyNumberFormat="0" applyFill="0" applyAlignment="0" applyProtection="0"/>
    <xf numFmtId="0" fontId="69" fillId="36" borderId="22" applyNumberFormat="0" applyAlignment="0" applyProtection="0"/>
    <xf numFmtId="0" fontId="70" fillId="0" borderId="0" applyNumberFormat="0" applyFill="0" applyBorder="0" applyAlignment="0" applyProtection="0"/>
    <xf numFmtId="0" fontId="2" fillId="37" borderId="23" applyNumberFormat="0" applyFont="0" applyAlignment="0" applyProtection="0"/>
    <xf numFmtId="0" fontId="71" fillId="0" borderId="0" applyNumberFormat="0" applyFill="0" applyBorder="0" applyAlignment="0" applyProtection="0"/>
    <xf numFmtId="0" fontId="72" fillId="0" borderId="24" applyNumberFormat="0" applyFill="0" applyAlignment="0" applyProtection="0"/>
    <xf numFmtId="0" fontId="73"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73" fillId="61" borderId="0" applyNumberFormat="0" applyBorder="0" applyAlignment="0" applyProtection="0"/>
    <xf numFmtId="0" fontId="86" fillId="0" borderId="0" applyNumberFormat="0" applyFill="0" applyBorder="0" applyAlignment="0" applyProtection="0"/>
  </cellStyleXfs>
  <cellXfs count="142">
    <xf numFmtId="0" fontId="0" fillId="0" borderId="0" xfId="0"/>
    <xf numFmtId="0" fontId="0" fillId="0" borderId="0" xfId="0" applyAlignment="1">
      <alignment wrapText="1"/>
    </xf>
    <xf numFmtId="0" fontId="1" fillId="0" borderId="0" xfId="0" applyFont="1"/>
    <xf numFmtId="0" fontId="0" fillId="0" borderId="0" xfId="0" applyAlignment="1">
      <alignment horizontal="center"/>
    </xf>
    <xf numFmtId="0" fontId="1" fillId="0" borderId="9" xfId="0" applyFont="1" applyBorder="1" applyAlignment="1">
      <alignment horizontal="center" wrapText="1"/>
    </xf>
    <xf numFmtId="49" fontId="53" fillId="0" borderId="9" xfId="3" applyNumberFormat="1" applyFont="1" applyFill="1" applyBorder="1" applyAlignment="1">
      <alignment horizontal="center" wrapText="1"/>
    </xf>
    <xf numFmtId="49" fontId="53" fillId="0" borderId="30" xfId="3" applyNumberFormat="1" applyFont="1" applyFill="1" applyBorder="1" applyAlignment="1">
      <alignment horizontal="center" wrapText="1"/>
    </xf>
    <xf numFmtId="10" fontId="1" fillId="0" borderId="9" xfId="1" applyNumberFormat="1" applyFont="1" applyBorder="1" applyAlignment="1">
      <alignment horizontal="center" wrapText="1"/>
    </xf>
    <xf numFmtId="0" fontId="1" fillId="0" borderId="26" xfId="0" applyFont="1" applyBorder="1" applyAlignment="1">
      <alignment horizontal="center" wrapText="1"/>
    </xf>
    <xf numFmtId="49" fontId="1" fillId="0" borderId="9" xfId="0" applyNumberFormat="1" applyFont="1" applyBorder="1" applyAlignment="1">
      <alignment horizontal="center" wrapText="1"/>
    </xf>
    <xf numFmtId="0" fontId="56" fillId="0" borderId="9" xfId="0" applyFont="1" applyBorder="1" applyAlignment="1">
      <alignment horizontal="center" wrapText="1"/>
    </xf>
    <xf numFmtId="0" fontId="1" fillId="30" borderId="9" xfId="0" applyFont="1" applyFill="1" applyBorder="1" applyAlignment="1">
      <alignment horizontal="center" wrapText="1"/>
    </xf>
    <xf numFmtId="0" fontId="1" fillId="0" borderId="29" xfId="0" applyFont="1" applyBorder="1" applyAlignment="1">
      <alignment horizontal="center" wrapText="1"/>
    </xf>
    <xf numFmtId="49" fontId="1" fillId="0" borderId="30" xfId="0" applyNumberFormat="1" applyFont="1" applyBorder="1" applyAlignment="1">
      <alignment horizontal="center" wrapText="1"/>
    </xf>
    <xf numFmtId="10" fontId="1" fillId="0" borderId="30" xfId="1" applyNumberFormat="1" applyFont="1" applyBorder="1" applyAlignment="1">
      <alignment horizontal="center" wrapText="1"/>
    </xf>
    <xf numFmtId="0" fontId="56" fillId="0" borderId="30" xfId="0" applyFont="1" applyBorder="1" applyAlignment="1">
      <alignment horizontal="center" wrapText="1"/>
    </xf>
    <xf numFmtId="0" fontId="1" fillId="30" borderId="30" xfId="0" applyFont="1" applyFill="1" applyBorder="1" applyAlignment="1">
      <alignment horizontal="center" wrapText="1"/>
    </xf>
    <xf numFmtId="0" fontId="1" fillId="0" borderId="9" xfId="0" applyFont="1" applyBorder="1" applyAlignment="1">
      <alignment horizontal="left" wrapText="1"/>
    </xf>
    <xf numFmtId="0" fontId="1" fillId="30" borderId="9" xfId="0" applyFont="1" applyFill="1" applyBorder="1" applyAlignment="1">
      <alignment horizontal="left" wrapText="1"/>
    </xf>
    <xf numFmtId="0" fontId="1" fillId="30" borderId="30" xfId="0" applyFont="1" applyFill="1" applyBorder="1" applyAlignment="1">
      <alignment horizontal="left" wrapText="1"/>
    </xf>
    <xf numFmtId="0" fontId="0" fillId="63" borderId="33" xfId="0" applyFont="1" applyFill="1" applyBorder="1" applyAlignment="1">
      <alignment horizontal="center" wrapText="1"/>
    </xf>
    <xf numFmtId="10" fontId="0" fillId="63" borderId="33" xfId="1" applyNumberFormat="1" applyFont="1" applyFill="1" applyBorder="1" applyAlignment="1">
      <alignment horizontal="center" wrapText="1"/>
    </xf>
    <xf numFmtId="0" fontId="70" fillId="63" borderId="33" xfId="0" applyFont="1" applyFill="1" applyBorder="1" applyAlignment="1">
      <alignment horizontal="center" wrapText="1"/>
    </xf>
    <xf numFmtId="0" fontId="74" fillId="62" borderId="33" xfId="0" applyFont="1" applyFill="1" applyBorder="1" applyAlignment="1">
      <alignment horizontal="center" wrapText="1"/>
    </xf>
    <xf numFmtId="2" fontId="0" fillId="63" borderId="33" xfId="0" applyNumberFormat="1" applyFont="1" applyFill="1" applyBorder="1" applyAlignment="1">
      <alignment horizontal="center" wrapText="1"/>
    </xf>
    <xf numFmtId="0" fontId="75" fillId="0" borderId="35" xfId="0" applyFont="1" applyBorder="1" applyAlignment="1">
      <alignment horizontal="left" vertical="center" wrapText="1" indent="1"/>
    </xf>
    <xf numFmtId="0" fontId="75" fillId="68" borderId="35" xfId="0" applyFont="1" applyFill="1" applyBorder="1" applyAlignment="1">
      <alignment horizontal="left" vertical="center" wrapText="1" indent="1"/>
    </xf>
    <xf numFmtId="0" fontId="75" fillId="68" borderId="0" xfId="0" applyFont="1" applyFill="1" applyBorder="1" applyAlignment="1">
      <alignment horizontal="left" vertical="center" wrapText="1" indent="1"/>
    </xf>
    <xf numFmtId="0" fontId="78" fillId="69" borderId="35" xfId="0" applyFont="1" applyFill="1" applyBorder="1" applyAlignment="1">
      <alignment horizontal="left" vertical="center" wrapText="1" indent="1"/>
    </xf>
    <xf numFmtId="164" fontId="0" fillId="0" borderId="0" xfId="1" applyNumberFormat="1" applyFont="1" applyBorder="1"/>
    <xf numFmtId="0" fontId="0" fillId="0" borderId="0" xfId="0" applyBorder="1"/>
    <xf numFmtId="0" fontId="77" fillId="69" borderId="34" xfId="0" applyFont="1" applyFill="1" applyBorder="1" applyAlignment="1">
      <alignment horizontal="center" vertical="center" wrapText="1"/>
    </xf>
    <xf numFmtId="9" fontId="75" fillId="0" borderId="34" xfId="0" applyNumberFormat="1" applyFont="1" applyBorder="1" applyAlignment="1">
      <alignment horizontal="center" vertical="center" wrapText="1"/>
    </xf>
    <xf numFmtId="9" fontId="75" fillId="68" borderId="34" xfId="0" applyNumberFormat="1" applyFont="1" applyFill="1" applyBorder="1" applyAlignment="1">
      <alignment horizontal="center" vertical="center" wrapText="1"/>
    </xf>
    <xf numFmtId="9" fontId="75" fillId="68" borderId="36" xfId="0" applyNumberFormat="1" applyFont="1" applyFill="1" applyBorder="1" applyAlignment="1">
      <alignment horizontal="center" vertical="center" wrapText="1"/>
    </xf>
    <xf numFmtId="9" fontId="76" fillId="68" borderId="36" xfId="0" applyNumberFormat="1" applyFont="1" applyFill="1" applyBorder="1" applyAlignment="1">
      <alignment horizontal="center" vertical="center" wrapText="1"/>
    </xf>
    <xf numFmtId="0" fontId="0" fillId="0" borderId="0" xfId="0" applyBorder="1" applyAlignment="1">
      <alignment wrapText="1"/>
    </xf>
    <xf numFmtId="0" fontId="70" fillId="0" borderId="0" xfId="0" applyFont="1" applyAlignment="1">
      <alignment wrapText="1"/>
    </xf>
    <xf numFmtId="1" fontId="53" fillId="63" borderId="9" xfId="3" applyNumberFormat="1" applyFont="1" applyFill="1" applyBorder="1" applyAlignment="1">
      <alignment horizontal="center" vertical="center" wrapText="1"/>
    </xf>
    <xf numFmtId="10" fontId="53" fillId="63" borderId="9" xfId="1" applyNumberFormat="1" applyFont="1" applyFill="1" applyBorder="1" applyAlignment="1">
      <alignment horizontal="center" wrapText="1"/>
    </xf>
    <xf numFmtId="0" fontId="0" fillId="71" borderId="33" xfId="0" applyFont="1" applyFill="1" applyBorder="1" applyAlignment="1">
      <alignment horizontal="center" wrapText="1"/>
    </xf>
    <xf numFmtId="0" fontId="0" fillId="72" borderId="33" xfId="0" applyFont="1" applyFill="1" applyBorder="1" applyAlignment="1">
      <alignment horizontal="center" wrapText="1"/>
    </xf>
    <xf numFmtId="3" fontId="1" fillId="2" borderId="9" xfId="0" applyNumberFormat="1" applyFont="1" applyFill="1" applyBorder="1" applyAlignment="1">
      <alignment horizontal="center" wrapText="1"/>
    </xf>
    <xf numFmtId="10" fontId="1" fillId="2" borderId="27" xfId="0" applyNumberFormat="1" applyFont="1" applyFill="1" applyBorder="1" applyAlignment="1">
      <alignment horizontal="center" wrapText="1"/>
    </xf>
    <xf numFmtId="0" fontId="70" fillId="72" borderId="33" xfId="0" applyFont="1" applyFill="1" applyBorder="1" applyAlignment="1">
      <alignment horizontal="center" wrapText="1"/>
    </xf>
    <xf numFmtId="3" fontId="0" fillId="72" borderId="33" xfId="0" applyNumberFormat="1" applyFont="1" applyFill="1" applyBorder="1" applyAlignment="1">
      <alignment horizontal="center" wrapText="1"/>
    </xf>
    <xf numFmtId="0" fontId="74" fillId="62" borderId="33" xfId="0" applyFont="1" applyFill="1" applyBorder="1" applyAlignment="1">
      <alignment horizontal="left" wrapText="1"/>
    </xf>
    <xf numFmtId="0" fontId="74" fillId="65" borderId="33" xfId="0" applyFont="1" applyFill="1" applyBorder="1" applyAlignment="1">
      <alignment horizontal="center" wrapText="1"/>
    </xf>
    <xf numFmtId="0" fontId="74" fillId="65" borderId="33" xfId="0" applyFont="1" applyFill="1" applyBorder="1" applyAlignment="1">
      <alignment horizontal="left" wrapText="1"/>
    </xf>
    <xf numFmtId="1" fontId="74" fillId="65" borderId="33" xfId="0" applyNumberFormat="1" applyFont="1" applyFill="1" applyBorder="1" applyAlignment="1">
      <alignment horizontal="center" wrapText="1"/>
    </xf>
    <xf numFmtId="1" fontId="53" fillId="63" borderId="30" xfId="3" applyNumberFormat="1" applyFont="1" applyFill="1" applyBorder="1" applyAlignment="1">
      <alignment horizontal="center" vertical="center" wrapText="1"/>
    </xf>
    <xf numFmtId="10" fontId="53" fillId="63" borderId="30" xfId="1" applyNumberFormat="1" applyFont="1" applyFill="1" applyBorder="1" applyAlignment="1">
      <alignment horizontal="center" wrapText="1"/>
    </xf>
    <xf numFmtId="0" fontId="1" fillId="63" borderId="9" xfId="0" applyFont="1" applyFill="1" applyBorder="1" applyAlignment="1">
      <alignment horizontal="center" wrapText="1"/>
    </xf>
    <xf numFmtId="3" fontId="1" fillId="2" borderId="30" xfId="0" applyNumberFormat="1" applyFont="1" applyFill="1" applyBorder="1" applyAlignment="1">
      <alignment horizontal="center" wrapText="1"/>
    </xf>
    <xf numFmtId="10" fontId="1" fillId="2" borderId="31" xfId="0" applyNumberFormat="1" applyFont="1" applyFill="1" applyBorder="1" applyAlignment="1">
      <alignment horizontal="center" wrapText="1"/>
    </xf>
    <xf numFmtId="0" fontId="1" fillId="2" borderId="9" xfId="0" applyFont="1" applyFill="1" applyBorder="1" applyAlignment="1">
      <alignment horizontal="center" wrapText="1"/>
    </xf>
    <xf numFmtId="0" fontId="1" fillId="0" borderId="25" xfId="0" applyFont="1" applyBorder="1" applyAlignment="1">
      <alignment horizontal="center" wrapText="1"/>
    </xf>
    <xf numFmtId="0" fontId="1" fillId="0" borderId="25" xfId="0" applyFont="1" applyBorder="1" applyAlignment="1">
      <alignment horizontal="left" wrapText="1"/>
    </xf>
    <xf numFmtId="0" fontId="81" fillId="0" borderId="38" xfId="3" applyFont="1" applyFill="1" applyBorder="1" applyAlignment="1">
      <alignment horizontal="center" wrapText="1"/>
    </xf>
    <xf numFmtId="10" fontId="82" fillId="0" borderId="38" xfId="1" applyNumberFormat="1" applyFont="1" applyFill="1" applyBorder="1" applyAlignment="1">
      <alignment horizontal="center" wrapText="1"/>
    </xf>
    <xf numFmtId="1" fontId="81" fillId="0" borderId="38" xfId="3" applyNumberFormat="1" applyFont="1" applyFill="1" applyBorder="1" applyAlignment="1">
      <alignment horizontal="center" wrapText="1"/>
    </xf>
    <xf numFmtId="1" fontId="83" fillId="0" borderId="38" xfId="3" applyNumberFormat="1" applyFont="1" applyFill="1" applyBorder="1" applyAlignment="1">
      <alignment horizontal="center" wrapText="1"/>
    </xf>
    <xf numFmtId="1" fontId="83" fillId="28" borderId="38" xfId="242" applyNumberFormat="1" applyFont="1" applyBorder="1" applyAlignment="1">
      <alignment horizontal="center" wrapText="1"/>
    </xf>
    <xf numFmtId="0" fontId="83" fillId="66" borderId="38" xfId="3" applyFont="1" applyFill="1" applyBorder="1" applyAlignment="1">
      <alignment horizontal="center" wrapText="1"/>
    </xf>
    <xf numFmtId="10" fontId="83" fillId="66" borderId="38" xfId="1" applyNumberFormat="1" applyFont="1" applyFill="1" applyBorder="1" applyAlignment="1">
      <alignment horizontal="center" wrapText="1"/>
    </xf>
    <xf numFmtId="1" fontId="83" fillId="67" borderId="38" xfId="3" applyNumberFormat="1" applyFont="1" applyFill="1" applyBorder="1" applyAlignment="1">
      <alignment horizontal="center" wrapText="1"/>
    </xf>
    <xf numFmtId="1" fontId="83" fillId="67" borderId="39" xfId="3" applyNumberFormat="1" applyFont="1" applyFill="1" applyBorder="1" applyAlignment="1">
      <alignment horizontal="center" wrapText="1"/>
    </xf>
    <xf numFmtId="0" fontId="72" fillId="0" borderId="27" xfId="0" pivotButton="1" applyFont="1" applyBorder="1" applyAlignment="1">
      <alignment wrapText="1"/>
    </xf>
    <xf numFmtId="10" fontId="0" fillId="0" borderId="37" xfId="0" applyNumberFormat="1" applyBorder="1"/>
    <xf numFmtId="10" fontId="0" fillId="0" borderId="28" xfId="0" applyNumberFormat="1" applyBorder="1"/>
    <xf numFmtId="0" fontId="72" fillId="69" borderId="37" xfId="0" applyFont="1" applyFill="1" applyBorder="1"/>
    <xf numFmtId="0" fontId="72" fillId="69" borderId="28" xfId="0" applyFont="1" applyFill="1" applyBorder="1"/>
    <xf numFmtId="0" fontId="74" fillId="65" borderId="26" xfId="0" applyFont="1" applyFill="1" applyBorder="1" applyAlignment="1">
      <alignment horizontal="center" wrapText="1"/>
    </xf>
    <xf numFmtId="0" fontId="74" fillId="62" borderId="26" xfId="0" applyFont="1" applyFill="1" applyBorder="1" applyAlignment="1">
      <alignment horizontal="center" wrapText="1"/>
    </xf>
    <xf numFmtId="0" fontId="74" fillId="65" borderId="9" xfId="0" applyFont="1" applyFill="1" applyBorder="1" applyAlignment="1">
      <alignment horizontal="center" wrapText="1"/>
    </xf>
    <xf numFmtId="0" fontId="74" fillId="62" borderId="9" xfId="0" applyFont="1" applyFill="1" applyBorder="1" applyAlignment="1">
      <alignment horizontal="center" wrapText="1"/>
    </xf>
    <xf numFmtId="0" fontId="0" fillId="63" borderId="9" xfId="0" applyFont="1" applyFill="1" applyBorder="1" applyAlignment="1">
      <alignment horizontal="center" wrapText="1"/>
    </xf>
    <xf numFmtId="0" fontId="74" fillId="65" borderId="28" xfId="0" applyFont="1" applyFill="1" applyBorder="1" applyAlignment="1">
      <alignment horizontal="center" wrapText="1"/>
    </xf>
    <xf numFmtId="0" fontId="74" fillId="65" borderId="28" xfId="0" applyFont="1" applyFill="1" applyBorder="1" applyAlignment="1">
      <alignment horizontal="left" wrapText="1"/>
    </xf>
    <xf numFmtId="0" fontId="0" fillId="71" borderId="28" xfId="0" applyFont="1" applyFill="1" applyBorder="1" applyAlignment="1">
      <alignment horizontal="center" wrapText="1"/>
    </xf>
    <xf numFmtId="10" fontId="0" fillId="63" borderId="9" xfId="1" applyNumberFormat="1" applyFont="1" applyFill="1" applyBorder="1" applyAlignment="1">
      <alignment horizontal="center" wrapText="1"/>
    </xf>
    <xf numFmtId="0" fontId="81" fillId="0" borderId="41" xfId="3" applyFont="1" applyFill="1" applyBorder="1" applyAlignment="1">
      <alignment horizontal="center" wrapText="1"/>
    </xf>
    <xf numFmtId="0" fontId="74" fillId="65" borderId="26" xfId="0" applyFont="1" applyFill="1" applyBorder="1" applyAlignment="1">
      <alignment horizontal="center" vertical="top" wrapText="1"/>
    </xf>
    <xf numFmtId="0" fontId="74" fillId="62" borderId="26" xfId="0" applyFont="1" applyFill="1" applyBorder="1" applyAlignment="1">
      <alignment horizontal="center" vertical="top" wrapText="1"/>
    </xf>
    <xf numFmtId="0" fontId="74" fillId="65" borderId="40" xfId="0" applyFont="1" applyFill="1" applyBorder="1" applyAlignment="1">
      <alignment horizontal="center" wrapText="1"/>
    </xf>
    <xf numFmtId="0" fontId="1" fillId="0" borderId="0" xfId="0" applyFont="1" applyBorder="1"/>
    <xf numFmtId="0" fontId="87" fillId="0" borderId="0" xfId="0" applyFont="1" applyFill="1"/>
    <xf numFmtId="0" fontId="70" fillId="0" borderId="0" xfId="0" applyFont="1" applyAlignment="1">
      <alignment horizontal="left" vertical="top" wrapText="1"/>
    </xf>
    <xf numFmtId="0" fontId="79" fillId="69" borderId="32" xfId="0" applyFont="1" applyFill="1" applyBorder="1" applyAlignment="1">
      <alignment horizontal="left" vertical="top" wrapText="1"/>
    </xf>
    <xf numFmtId="0" fontId="79" fillId="69" borderId="0" xfId="0" applyFont="1" applyFill="1" applyBorder="1" applyAlignment="1">
      <alignment horizontal="left" vertical="top" wrapText="1"/>
    </xf>
    <xf numFmtId="0" fontId="70" fillId="0" borderId="0" xfId="0" applyFont="1" applyAlignment="1">
      <alignment horizontal="left"/>
    </xf>
    <xf numFmtId="0" fontId="0" fillId="65" borderId="33" xfId="0" applyFont="1" applyFill="1" applyBorder="1" applyAlignment="1">
      <alignment horizontal="center"/>
    </xf>
    <xf numFmtId="0" fontId="0" fillId="65" borderId="33" xfId="0" applyFont="1" applyFill="1" applyBorder="1"/>
    <xf numFmtId="0" fontId="0" fillId="65" borderId="33" xfId="0" applyFont="1" applyFill="1" applyBorder="1" applyAlignment="1">
      <alignment wrapText="1"/>
    </xf>
    <xf numFmtId="0" fontId="0" fillId="0" borderId="33" xfId="0" applyFont="1" applyBorder="1"/>
    <xf numFmtId="0" fontId="0" fillId="71" borderId="33" xfId="0" applyFont="1" applyFill="1" applyBorder="1" applyAlignment="1">
      <alignment horizontal="center"/>
    </xf>
    <xf numFmtId="0" fontId="74" fillId="62" borderId="9" xfId="0" applyFont="1" applyFill="1" applyBorder="1" applyAlignment="1">
      <alignment horizontal="left" wrapText="1"/>
    </xf>
    <xf numFmtId="0" fontId="74" fillId="65" borderId="9" xfId="0" applyFont="1" applyFill="1" applyBorder="1" applyAlignment="1">
      <alignment horizontal="left" wrapText="1"/>
    </xf>
    <xf numFmtId="0" fontId="0" fillId="72" borderId="9" xfId="0" applyFont="1" applyFill="1" applyBorder="1" applyAlignment="1">
      <alignment horizontal="center" wrapText="1"/>
    </xf>
    <xf numFmtId="0" fontId="0" fillId="71" borderId="9" xfId="0" applyFont="1" applyFill="1" applyBorder="1" applyAlignment="1">
      <alignment horizontal="center" wrapText="1"/>
    </xf>
    <xf numFmtId="0" fontId="72" fillId="69" borderId="0" xfId="0" applyFont="1" applyFill="1"/>
    <xf numFmtId="0" fontId="72" fillId="69" borderId="0" xfId="0" applyFont="1" applyFill="1" applyBorder="1"/>
    <xf numFmtId="0" fontId="74" fillId="65" borderId="33" xfId="0" applyFont="1" applyFill="1" applyBorder="1" applyAlignment="1">
      <alignment horizontal="center" vertical="center" wrapText="1"/>
    </xf>
    <xf numFmtId="0" fontId="0" fillId="71" borderId="33" xfId="0" applyFont="1" applyFill="1" applyBorder="1" applyAlignment="1">
      <alignment horizontal="center" vertical="center" wrapText="1"/>
    </xf>
    <xf numFmtId="0" fontId="74" fillId="62" borderId="33" xfId="0" applyFont="1" applyFill="1" applyBorder="1" applyAlignment="1">
      <alignment horizontal="center" vertical="center" wrapText="1"/>
    </xf>
    <xf numFmtId="0" fontId="0" fillId="72" borderId="33" xfId="0" applyFont="1" applyFill="1" applyBorder="1" applyAlignment="1">
      <alignment horizontal="center" vertical="center" wrapText="1"/>
    </xf>
    <xf numFmtId="0" fontId="0" fillId="70" borderId="33" xfId="0" applyFont="1" applyFill="1" applyBorder="1" applyAlignment="1">
      <alignment horizontal="center" wrapText="1"/>
    </xf>
    <xf numFmtId="10" fontId="0" fillId="70" borderId="33" xfId="1" applyNumberFormat="1" applyFont="1" applyFill="1" applyBorder="1" applyAlignment="1">
      <alignment horizontal="center" wrapText="1"/>
    </xf>
    <xf numFmtId="0" fontId="0" fillId="70" borderId="9" xfId="0" applyFont="1" applyFill="1" applyBorder="1" applyAlignment="1">
      <alignment horizontal="center" wrapText="1"/>
    </xf>
    <xf numFmtId="10" fontId="0" fillId="65" borderId="33" xfId="1" applyNumberFormat="1" applyFont="1" applyFill="1" applyBorder="1" applyAlignment="1">
      <alignment horizontal="center" wrapText="1"/>
    </xf>
    <xf numFmtId="3" fontId="0" fillId="2" borderId="33" xfId="0" applyNumberFormat="1" applyFont="1" applyFill="1" applyBorder="1" applyAlignment="1">
      <alignment horizontal="center" wrapText="1"/>
    </xf>
    <xf numFmtId="10" fontId="0" fillId="2" borderId="33" xfId="0" applyNumberFormat="1" applyFont="1" applyFill="1" applyBorder="1" applyAlignment="1">
      <alignment horizontal="center" wrapText="1"/>
    </xf>
    <xf numFmtId="0" fontId="0" fillId="62" borderId="26" xfId="0" applyFont="1" applyFill="1" applyBorder="1" applyAlignment="1">
      <alignment horizontal="center" wrapText="1"/>
    </xf>
    <xf numFmtId="49" fontId="0" fillId="62" borderId="33" xfId="0" applyNumberFormat="1" applyFont="1" applyFill="1" applyBorder="1" applyAlignment="1">
      <alignment horizontal="center" wrapText="1"/>
    </xf>
    <xf numFmtId="0" fontId="88" fillId="62" borderId="33" xfId="0" applyFont="1" applyFill="1" applyBorder="1" applyAlignment="1">
      <alignment horizontal="center" wrapText="1"/>
    </xf>
    <xf numFmtId="0" fontId="0" fillId="65" borderId="33" xfId="0" applyFont="1" applyFill="1" applyBorder="1" applyAlignment="1">
      <alignment horizontal="left" wrapText="1"/>
    </xf>
    <xf numFmtId="49" fontId="74" fillId="0" borderId="33" xfId="3" applyNumberFormat="1" applyFont="1" applyFill="1" applyBorder="1" applyAlignment="1">
      <alignment horizontal="center" wrapText="1"/>
    </xf>
    <xf numFmtId="49" fontId="74" fillId="65" borderId="33" xfId="3" applyNumberFormat="1" applyFont="1" applyFill="1" applyBorder="1" applyAlignment="1">
      <alignment horizontal="center" wrapText="1"/>
    </xf>
    <xf numFmtId="1" fontId="74" fillId="63" borderId="33" xfId="3" applyNumberFormat="1" applyFont="1" applyFill="1" applyBorder="1" applyAlignment="1">
      <alignment horizontal="center" vertical="center" wrapText="1"/>
    </xf>
    <xf numFmtId="10" fontId="74" fillId="63" borderId="33" xfId="1" applyNumberFormat="1" applyFont="1" applyFill="1" applyBorder="1" applyAlignment="1">
      <alignment horizontal="center" wrapText="1"/>
    </xf>
    <xf numFmtId="0" fontId="0" fillId="65" borderId="26" xfId="0" applyFont="1" applyFill="1" applyBorder="1" applyAlignment="1">
      <alignment horizontal="center" wrapText="1"/>
    </xf>
    <xf numFmtId="49" fontId="0" fillId="65" borderId="33" xfId="0" applyNumberFormat="1" applyFont="1" applyFill="1" applyBorder="1" applyAlignment="1">
      <alignment horizontal="center" wrapText="1"/>
    </xf>
    <xf numFmtId="0" fontId="88" fillId="65" borderId="33" xfId="0" applyFont="1" applyFill="1" applyBorder="1" applyAlignment="1">
      <alignment horizontal="center" wrapText="1"/>
    </xf>
    <xf numFmtId="10" fontId="74" fillId="65" borderId="33" xfId="1" applyNumberFormat="1" applyFont="1" applyFill="1" applyBorder="1" applyAlignment="1">
      <alignment horizontal="center" wrapText="1"/>
    </xf>
    <xf numFmtId="3" fontId="0" fillId="71" borderId="33" xfId="0" applyNumberFormat="1" applyFont="1" applyFill="1" applyBorder="1" applyAlignment="1">
      <alignment horizontal="center" wrapText="1"/>
    </xf>
    <xf numFmtId="10" fontId="88" fillId="64" borderId="33" xfId="1" applyNumberFormat="1" applyFont="1" applyFill="1" applyBorder="1" applyAlignment="1">
      <alignment horizontal="center" wrapText="1"/>
    </xf>
    <xf numFmtId="49" fontId="74" fillId="65" borderId="33" xfId="0" applyNumberFormat="1" applyFont="1" applyFill="1" applyBorder="1" applyAlignment="1">
      <alignment horizontal="center" wrapText="1"/>
    </xf>
    <xf numFmtId="10" fontId="0" fillId="2" borderId="27" xfId="0" applyNumberFormat="1" applyFont="1" applyFill="1" applyBorder="1" applyAlignment="1">
      <alignment horizontal="center" wrapText="1"/>
    </xf>
    <xf numFmtId="0" fontId="89" fillId="65" borderId="33" xfId="0" applyFont="1" applyFill="1" applyBorder="1" applyAlignment="1">
      <alignment vertical="top"/>
    </xf>
    <xf numFmtId="1" fontId="0" fillId="71" borderId="33" xfId="0" applyNumberFormat="1" applyFont="1" applyFill="1" applyBorder="1" applyAlignment="1">
      <alignment horizontal="center" vertical="top" wrapText="1"/>
    </xf>
    <xf numFmtId="3" fontId="89" fillId="71" borderId="33" xfId="0" applyNumberFormat="1" applyFont="1" applyFill="1" applyBorder="1" applyAlignment="1">
      <alignment vertical="top"/>
    </xf>
    <xf numFmtId="0" fontId="0" fillId="65" borderId="33" xfId="0" applyFont="1" applyFill="1" applyBorder="1" applyAlignment="1">
      <alignment horizontal="center" wrapText="1"/>
    </xf>
    <xf numFmtId="49" fontId="74" fillId="65" borderId="33" xfId="3" applyNumberFormat="1" applyFont="1" applyFill="1" applyBorder="1" applyAlignment="1">
      <alignment horizontal="left" wrapText="1"/>
    </xf>
    <xf numFmtId="10" fontId="74" fillId="65" borderId="9" xfId="1" applyNumberFormat="1" applyFont="1" applyFill="1" applyBorder="1" applyAlignment="1">
      <alignment horizontal="center" wrapText="1"/>
    </xf>
    <xf numFmtId="3" fontId="0" fillId="2" borderId="9" xfId="0" applyNumberFormat="1" applyFont="1" applyFill="1" applyBorder="1" applyAlignment="1">
      <alignment horizontal="center" wrapText="1"/>
    </xf>
    <xf numFmtId="1" fontId="74" fillId="63" borderId="9" xfId="3" applyNumberFormat="1" applyFont="1" applyFill="1" applyBorder="1" applyAlignment="1">
      <alignment horizontal="center" vertical="center" wrapText="1"/>
    </xf>
    <xf numFmtId="10" fontId="74" fillId="63" borderId="9" xfId="1" applyNumberFormat="1" applyFont="1" applyFill="1" applyBorder="1" applyAlignment="1">
      <alignment horizontal="center" wrapText="1"/>
    </xf>
    <xf numFmtId="1" fontId="74" fillId="63" borderId="28" xfId="3" applyNumberFormat="1" applyFont="1" applyFill="1" applyBorder="1" applyAlignment="1">
      <alignment horizontal="center" vertical="center" wrapText="1"/>
    </xf>
    <xf numFmtId="10" fontId="74" fillId="63" borderId="28" xfId="1" applyNumberFormat="1" applyFont="1" applyFill="1" applyBorder="1" applyAlignment="1">
      <alignment horizontal="center" wrapText="1"/>
    </xf>
    <xf numFmtId="10" fontId="0" fillId="65" borderId="9" xfId="1" applyNumberFormat="1" applyFont="1" applyFill="1" applyBorder="1" applyAlignment="1">
      <alignment horizontal="center" wrapText="1"/>
    </xf>
    <xf numFmtId="0" fontId="88" fillId="65" borderId="9" xfId="0" applyFont="1" applyFill="1" applyBorder="1" applyAlignment="1">
      <alignment horizontal="center" wrapText="1"/>
    </xf>
    <xf numFmtId="49" fontId="74" fillId="65" borderId="9" xfId="0" applyNumberFormat="1" applyFont="1" applyFill="1" applyBorder="1" applyAlignment="1">
      <alignment horizontal="center" wrapText="1"/>
    </xf>
  </cellXfs>
  <cellStyles count="1299">
    <cellStyle name=" _x0007_LÓ_x0018_ÄþÍN^NuNVþˆHÁ_x0001__x0018_(n" xfId="25"/>
    <cellStyle name="0.0%" xfId="26"/>
    <cellStyle name="0.0% -" xfId="27"/>
    <cellStyle name="20% - Accent1" xfId="1275" builtinId="30" customBuiltin="1"/>
    <cellStyle name="20% - Accent1 2" xfId="28"/>
    <cellStyle name="20% - Accent1 3" xfId="29"/>
    <cellStyle name="20% - Accent1 4" xfId="30"/>
    <cellStyle name="20% - Accent2" xfId="1279" builtinId="34" customBuiltin="1"/>
    <cellStyle name="20% - Accent2 2" xfId="31"/>
    <cellStyle name="20% - Accent2 3" xfId="32"/>
    <cellStyle name="20% - Accent2 4" xfId="33"/>
    <cellStyle name="20% - Accent3" xfId="1283" builtinId="38" customBuiltin="1"/>
    <cellStyle name="20% - Accent3 2" xfId="34"/>
    <cellStyle name="20% - Accent3 3" xfId="35"/>
    <cellStyle name="20% - Accent3 4" xfId="36"/>
    <cellStyle name="20% - Accent4" xfId="1287" builtinId="42" customBuiltin="1"/>
    <cellStyle name="20% - Accent4 2" xfId="37"/>
    <cellStyle name="20% - Accent4 3" xfId="38"/>
    <cellStyle name="20% - Accent4 4" xfId="39"/>
    <cellStyle name="20% - Accent5" xfId="1291" builtinId="46" customBuiltin="1"/>
    <cellStyle name="20% - Accent5 2" xfId="40"/>
    <cellStyle name="20% - Accent5 3" xfId="41"/>
    <cellStyle name="20% - Accent5 4" xfId="42"/>
    <cellStyle name="20% - Accent6" xfId="1295" builtinId="50" customBuiltin="1"/>
    <cellStyle name="20% - Accent6 2" xfId="43"/>
    <cellStyle name="20% - Accent6 3" xfId="44"/>
    <cellStyle name="20% - Accent6 4" xfId="45"/>
    <cellStyle name="40% - Accent1" xfId="1276" builtinId="31" customBuiltin="1"/>
    <cellStyle name="40% - Accent1 2" xfId="46"/>
    <cellStyle name="40% - Accent1 3" xfId="47"/>
    <cellStyle name="40% - Accent1 4" xfId="48"/>
    <cellStyle name="40% - Accent2" xfId="1280" builtinId="35" customBuiltin="1"/>
    <cellStyle name="40% - Accent2 2" xfId="49"/>
    <cellStyle name="40% - Accent2 3" xfId="50"/>
    <cellStyle name="40% - Accent2 4" xfId="51"/>
    <cellStyle name="40% - Accent3" xfId="1284" builtinId="39" customBuiltin="1"/>
    <cellStyle name="40% - Accent3 2" xfId="52"/>
    <cellStyle name="40% - Accent3 3" xfId="53"/>
    <cellStyle name="40% - Accent3 4" xfId="54"/>
    <cellStyle name="40% - Accent4" xfId="1288" builtinId="43" customBuiltin="1"/>
    <cellStyle name="40% - Accent4 2" xfId="55"/>
    <cellStyle name="40% - Accent4 3" xfId="56"/>
    <cellStyle name="40% - Accent4 4" xfId="57"/>
    <cellStyle name="40% - Accent5" xfId="1292" builtinId="47" customBuiltin="1"/>
    <cellStyle name="40% - Accent5 2" xfId="58"/>
    <cellStyle name="40% - Accent5 3" xfId="59"/>
    <cellStyle name="40% - Accent5 4" xfId="60"/>
    <cellStyle name="40% - Accent6" xfId="1296" builtinId="51" customBuiltin="1"/>
    <cellStyle name="40% - Accent6 2" xfId="61"/>
    <cellStyle name="40% - Accent6 3" xfId="62"/>
    <cellStyle name="40% - Accent6 4" xfId="63"/>
    <cellStyle name="60% - Accent1" xfId="1277" builtinId="32" customBuiltin="1"/>
    <cellStyle name="60% - Accent1 2" xfId="64"/>
    <cellStyle name="60% - Accent1 3" xfId="65"/>
    <cellStyle name="60% - Accent1 4" xfId="66"/>
    <cellStyle name="60% - Accent2" xfId="1281" builtinId="36" customBuiltin="1"/>
    <cellStyle name="60% - Accent2 2" xfId="67"/>
    <cellStyle name="60% - Accent2 3" xfId="68"/>
    <cellStyle name="60% - Accent2 4" xfId="69"/>
    <cellStyle name="60% - Accent3" xfId="1285" builtinId="40" customBuiltin="1"/>
    <cellStyle name="60% - Accent3 2" xfId="70"/>
    <cellStyle name="60% - Accent3 3" xfId="71"/>
    <cellStyle name="60% - Accent3 4" xfId="72"/>
    <cellStyle name="60% - Accent4" xfId="1289" builtinId="44" customBuiltin="1"/>
    <cellStyle name="60% - Accent4 2" xfId="73"/>
    <cellStyle name="60% - Accent4 3" xfId="74"/>
    <cellStyle name="60% - Accent4 4" xfId="75"/>
    <cellStyle name="60% - Accent5" xfId="1293" builtinId="48" customBuiltin="1"/>
    <cellStyle name="60% - Accent5 2" xfId="76"/>
    <cellStyle name="60% - Accent5 3" xfId="77"/>
    <cellStyle name="60% - Accent5 4" xfId="78"/>
    <cellStyle name="60% - Accent6" xfId="1297" builtinId="52" customBuiltin="1"/>
    <cellStyle name="60% - Accent6 2" xfId="79"/>
    <cellStyle name="60% - Accent6 3" xfId="80"/>
    <cellStyle name="60% - Accent6 4" xfId="81"/>
    <cellStyle name="Accent1" xfId="1274" builtinId="29" customBuiltin="1"/>
    <cellStyle name="Accent1 2" xfId="82"/>
    <cellStyle name="Accent1 3" xfId="83"/>
    <cellStyle name="Accent1 4" xfId="84"/>
    <cellStyle name="Accent2" xfId="1278" builtinId="33" customBuiltin="1"/>
    <cellStyle name="Accent2 2" xfId="85"/>
    <cellStyle name="Accent2 3" xfId="86"/>
    <cellStyle name="Accent2 4" xfId="87"/>
    <cellStyle name="Accent3" xfId="1282" builtinId="37" customBuiltin="1"/>
    <cellStyle name="Accent3 2" xfId="88"/>
    <cellStyle name="Accent3 3" xfId="89"/>
    <cellStyle name="Accent3 4" xfId="90"/>
    <cellStyle name="Accent4" xfId="1286" builtinId="41" customBuiltin="1"/>
    <cellStyle name="Accent4 2" xfId="91"/>
    <cellStyle name="Accent4 3" xfId="92"/>
    <cellStyle name="Accent4 4" xfId="93"/>
    <cellStyle name="Accent5" xfId="1290" builtinId="45" customBuiltin="1"/>
    <cellStyle name="Accent5 2" xfId="94"/>
    <cellStyle name="Accent5 3" xfId="95"/>
    <cellStyle name="Accent5 4" xfId="96"/>
    <cellStyle name="Accent6" xfId="1294" builtinId="49" customBuiltin="1"/>
    <cellStyle name="Accent6 2" xfId="97"/>
    <cellStyle name="Accent6 3" xfId="98"/>
    <cellStyle name="Accent6 4" xfId="99"/>
    <cellStyle name="args.style" xfId="100"/>
    <cellStyle name="Bad" xfId="1263" builtinId="27" customBuiltin="1"/>
    <cellStyle name="Bad 2" xfId="101"/>
    <cellStyle name="Bad 3" xfId="102"/>
    <cellStyle name="Bad 4" xfId="103"/>
    <cellStyle name="Body" xfId="104"/>
    <cellStyle name="Calc Currency (0)" xfId="105"/>
    <cellStyle name="Calculation" xfId="1267" builtinId="22" customBuiltin="1"/>
    <cellStyle name="Calculation 2" xfId="106"/>
    <cellStyle name="Calculation 3" xfId="107"/>
    <cellStyle name="Calculation 4" xfId="108"/>
    <cellStyle name="Check" xfId="109"/>
    <cellStyle name="Check Cell" xfId="1269" builtinId="23" customBuiltin="1"/>
    <cellStyle name="Check Cell 2" xfId="110"/>
    <cellStyle name="Check Cell 3" xfId="111"/>
    <cellStyle name="Check Cell 4" xfId="112"/>
    <cellStyle name="Comma 2" xfId="24"/>
    <cellStyle name="Copied" xfId="113"/>
    <cellStyle name="COST1" xfId="114"/>
    <cellStyle name="Currency 2" xfId="115"/>
    <cellStyle name="Currency 3" xfId="116"/>
    <cellStyle name="Currency 3 2" xfId="117"/>
    <cellStyle name="Currency 3 3" xfId="118"/>
    <cellStyle name="Currency 3 4" xfId="119"/>
    <cellStyle name="Currency 5" xfId="120"/>
    <cellStyle name="Date" xfId="121"/>
    <cellStyle name="Entered" xfId="122"/>
    <cellStyle name="Explanatory Text" xfId="1272" builtinId="53" customBuiltin="1"/>
    <cellStyle name="Explanatory Text 2" xfId="123"/>
    <cellStyle name="Explanatory Text 3" xfId="124"/>
    <cellStyle name="Explanatory Text 4" xfId="125"/>
    <cellStyle name="Followed Hyperlink" xfId="1205" builtinId="9" hidden="1"/>
    <cellStyle name="Followed Hyperlink" xfId="1207"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Good" xfId="1262" builtinId="26" customBuiltin="1"/>
    <cellStyle name="Good 2" xfId="126"/>
    <cellStyle name="Good 3" xfId="127"/>
    <cellStyle name="Good 4" xfId="128"/>
    <cellStyle name="Grey" xfId="129"/>
    <cellStyle name="Header1" xfId="130"/>
    <cellStyle name="Header2" xfId="131"/>
    <cellStyle name="Header2 2" xfId="132"/>
    <cellStyle name="Heading 1" xfId="1258" builtinId="16" customBuiltin="1"/>
    <cellStyle name="Heading 1 2" xfId="133"/>
    <cellStyle name="Heading 1 3" xfId="134"/>
    <cellStyle name="Heading 1 4" xfId="135"/>
    <cellStyle name="Heading 2" xfId="1259" builtinId="17" customBuiltin="1"/>
    <cellStyle name="Heading 2 2" xfId="136"/>
    <cellStyle name="Heading 2 3" xfId="137"/>
    <cellStyle name="Heading 2 4" xfId="138"/>
    <cellStyle name="Heading 3" xfId="1260" builtinId="18" customBuiltin="1"/>
    <cellStyle name="Heading 3 2" xfId="139"/>
    <cellStyle name="Heading 3 3" xfId="140"/>
    <cellStyle name="Heading 3 4" xfId="141"/>
    <cellStyle name="Heading 4" xfId="1261" builtinId="19" customBuiltin="1"/>
    <cellStyle name="Heading 4 2" xfId="142"/>
    <cellStyle name="Heading 4 3" xfId="143"/>
    <cellStyle name="Heading 4 4" xfId="144"/>
    <cellStyle name="HEADINGS" xfId="145"/>
    <cellStyle name="HEADINGS 2" xfId="146"/>
    <cellStyle name="HEADINGSTOP" xfId="147"/>
    <cellStyle name="Hyperlink" xfId="1204" builtinId="8" hidden="1"/>
    <cellStyle name="Hyperlink" xfId="1206" builtinId="8" hidden="1"/>
    <cellStyle name="Hyperlink" xfId="1208" builtinId="8" hidden="1"/>
    <cellStyle name="Hyperlink 2" xfId="2"/>
    <cellStyle name="Input" xfId="1265" builtinId="20" customBuiltin="1"/>
    <cellStyle name="Input [yellow]" xfId="148"/>
    <cellStyle name="Input 2" xfId="149"/>
    <cellStyle name="Input 3" xfId="150"/>
    <cellStyle name="Input 4" xfId="151"/>
    <cellStyle name="Input Cells" xfId="152"/>
    <cellStyle name="Item" xfId="153"/>
    <cellStyle name="Linked Cell" xfId="1268" builtinId="24" customBuiltin="1"/>
    <cellStyle name="Linked Cell 2" xfId="154"/>
    <cellStyle name="Linked Cell 3" xfId="155"/>
    <cellStyle name="Linked Cell 4" xfId="156"/>
    <cellStyle name="Linked Cells" xfId="157"/>
    <cellStyle name="Millares [0]_results" xfId="158"/>
    <cellStyle name="Millares_results" xfId="159"/>
    <cellStyle name="Milliers [0]_!!!GO" xfId="160"/>
    <cellStyle name="Milliers_!!!GO" xfId="161"/>
    <cellStyle name="Moneda [0]_results" xfId="162"/>
    <cellStyle name="Moneda_results" xfId="163"/>
    <cellStyle name="Monétaire [0]_!!!GO" xfId="164"/>
    <cellStyle name="Monétaire_!!!GO" xfId="165"/>
    <cellStyle name="Neutral" xfId="1264" builtinId="28" customBuiltin="1"/>
    <cellStyle name="Neutral 2" xfId="166"/>
    <cellStyle name="Neutral 3" xfId="167"/>
    <cellStyle name="Neutral 4" xfId="168"/>
    <cellStyle name="no dec" xfId="169"/>
    <cellStyle name="Normal" xfId="0" builtinId="0"/>
    <cellStyle name="Normal - Style1" xfId="170"/>
    <cellStyle name="Normal 10" xfId="23"/>
    <cellStyle name="Normal 10 2" xfId="171"/>
    <cellStyle name="Normal 10 2 2" xfId="172"/>
    <cellStyle name="Normal 10 2 3" xfId="173"/>
    <cellStyle name="Normal 10 2 4" xfId="174"/>
    <cellStyle name="Normal 10 3" xfId="175"/>
    <cellStyle name="Normal 10 4" xfId="176"/>
    <cellStyle name="Normal 10 5" xfId="177"/>
    <cellStyle name="Normal 10 6" xfId="178"/>
    <cellStyle name="Normal 10 7" xfId="179"/>
    <cellStyle name="Normal 100" xfId="438"/>
    <cellStyle name="Normal 101" xfId="440"/>
    <cellStyle name="Normal 102" xfId="442"/>
    <cellStyle name="Normal 103" xfId="444"/>
    <cellStyle name="Normal 104" xfId="446"/>
    <cellStyle name="Normal 105" xfId="448"/>
    <cellStyle name="Normal 106" xfId="450"/>
    <cellStyle name="Normal 107" xfId="452"/>
    <cellStyle name="Normal 108" xfId="454"/>
    <cellStyle name="Normal 109" xfId="456"/>
    <cellStyle name="Normal 11" xfId="180"/>
    <cellStyle name="Normal 110" xfId="458"/>
    <cellStyle name="Normal 111" xfId="460"/>
    <cellStyle name="Normal 112" xfId="462"/>
    <cellStyle name="Normal 113" xfId="464"/>
    <cellStyle name="Normal 114" xfId="466"/>
    <cellStyle name="Normal 115" xfId="468"/>
    <cellStyle name="Normal 116" xfId="470"/>
    <cellStyle name="Normal 117" xfId="472"/>
    <cellStyle name="Normal 118" xfId="474"/>
    <cellStyle name="Normal 119" xfId="476"/>
    <cellStyle name="Normal 12" xfId="181"/>
    <cellStyle name="Normal 120" xfId="478"/>
    <cellStyle name="Normal 121" xfId="480"/>
    <cellStyle name="Normal 122" xfId="482"/>
    <cellStyle name="Normal 123" xfId="484"/>
    <cellStyle name="Normal 124" xfId="486"/>
    <cellStyle name="Normal 125" xfId="488"/>
    <cellStyle name="Normal 126" xfId="490"/>
    <cellStyle name="Normal 127" xfId="492"/>
    <cellStyle name="Normal 128" xfId="494"/>
    <cellStyle name="Normal 129" xfId="496"/>
    <cellStyle name="Normal 13" xfId="182"/>
    <cellStyle name="Normal 130" xfId="498"/>
    <cellStyle name="Normal 131" xfId="500"/>
    <cellStyle name="Normal 132" xfId="502"/>
    <cellStyle name="Normal 133" xfId="504"/>
    <cellStyle name="Normal 134" xfId="506"/>
    <cellStyle name="Normal 135" xfId="508"/>
    <cellStyle name="Normal 136" xfId="510"/>
    <cellStyle name="Normal 137" xfId="512"/>
    <cellStyle name="Normal 138" xfId="514"/>
    <cellStyle name="Normal 139" xfId="516"/>
    <cellStyle name="Normal 14" xfId="183"/>
    <cellStyle name="Normal 140" xfId="518"/>
    <cellStyle name="Normal 141" xfId="520"/>
    <cellStyle name="Normal 142" xfId="522"/>
    <cellStyle name="Normal 143" xfId="524"/>
    <cellStyle name="Normal 144" xfId="526"/>
    <cellStyle name="Normal 145" xfId="528"/>
    <cellStyle name="Normal 146" xfId="530"/>
    <cellStyle name="Normal 147" xfId="532"/>
    <cellStyle name="Normal 148" xfId="534"/>
    <cellStyle name="Normal 149" xfId="536"/>
    <cellStyle name="Normal 15" xfId="184"/>
    <cellStyle name="Normal 150" xfId="538"/>
    <cellStyle name="Normal 151" xfId="540"/>
    <cellStyle name="Normal 152" xfId="542"/>
    <cellStyle name="Normal 153" xfId="544"/>
    <cellStyle name="Normal 154" xfId="546"/>
    <cellStyle name="Normal 155" xfId="548"/>
    <cellStyle name="Normal 156" xfId="550"/>
    <cellStyle name="Normal 157" xfId="552"/>
    <cellStyle name="Normal 158" xfId="554"/>
    <cellStyle name="Normal 159" xfId="556"/>
    <cellStyle name="Normal 16" xfId="185"/>
    <cellStyle name="Normal 160" xfId="558"/>
    <cellStyle name="Normal 161" xfId="560"/>
    <cellStyle name="Normal 162" xfId="562"/>
    <cellStyle name="Normal 163" xfId="564"/>
    <cellStyle name="Normal 164" xfId="566"/>
    <cellStyle name="Normal 165" xfId="568"/>
    <cellStyle name="Normal 166" xfId="570"/>
    <cellStyle name="Normal 167" xfId="572"/>
    <cellStyle name="Normal 168" xfId="574"/>
    <cellStyle name="Normal 169" xfId="576"/>
    <cellStyle name="Normal 17" xfId="186"/>
    <cellStyle name="Normal 170" xfId="578"/>
    <cellStyle name="Normal 171" xfId="580"/>
    <cellStyle name="Normal 172" xfId="582"/>
    <cellStyle name="Normal 173" xfId="584"/>
    <cellStyle name="Normal 174" xfId="586"/>
    <cellStyle name="Normal 175" xfId="588"/>
    <cellStyle name="Normal 176" xfId="590"/>
    <cellStyle name="Normal 177" xfId="592"/>
    <cellStyle name="Normal 178" xfId="594"/>
    <cellStyle name="Normal 179" xfId="596"/>
    <cellStyle name="Normal 18" xfId="187"/>
    <cellStyle name="Normal 180" xfId="598"/>
    <cellStyle name="Normal 181" xfId="600"/>
    <cellStyle name="Normal 182" xfId="602"/>
    <cellStyle name="Normal 183" xfId="604"/>
    <cellStyle name="Normal 184" xfId="606"/>
    <cellStyle name="Normal 185" xfId="608"/>
    <cellStyle name="Normal 186" xfId="610"/>
    <cellStyle name="Normal 187" xfId="612"/>
    <cellStyle name="Normal 188" xfId="614"/>
    <cellStyle name="Normal 189" xfId="616"/>
    <cellStyle name="Normal 19" xfId="188"/>
    <cellStyle name="Normal 190" xfId="618"/>
    <cellStyle name="Normal 191" xfId="620"/>
    <cellStyle name="Normal 192" xfId="622"/>
    <cellStyle name="Normal 193" xfId="624"/>
    <cellStyle name="Normal 194" xfId="626"/>
    <cellStyle name="Normal 195" xfId="628"/>
    <cellStyle name="Normal 196" xfId="630"/>
    <cellStyle name="Normal 197" xfId="632"/>
    <cellStyle name="Normal 198" xfId="634"/>
    <cellStyle name="Normal 199" xfId="636"/>
    <cellStyle name="Normal 2" xfId="4"/>
    <cellStyle name="Normal 2 2" xfId="5"/>
    <cellStyle name="Normal 2 2 2" xfId="189"/>
    <cellStyle name="Normal 2 3" xfId="6"/>
    <cellStyle name="Normal 2 4" xfId="17"/>
    <cellStyle name="Normal 2_Sheet1" xfId="16"/>
    <cellStyle name="Normal 20" xfId="190"/>
    <cellStyle name="Normal 200" xfId="638"/>
    <cellStyle name="Normal 201" xfId="640"/>
    <cellStyle name="Normal 202" xfId="642"/>
    <cellStyle name="Normal 203" xfId="644"/>
    <cellStyle name="Normal 204" xfId="646"/>
    <cellStyle name="Normal 205" xfId="648"/>
    <cellStyle name="Normal 206" xfId="650"/>
    <cellStyle name="Normal 207" xfId="652"/>
    <cellStyle name="Normal 208" xfId="654"/>
    <cellStyle name="Normal 209" xfId="656"/>
    <cellStyle name="Normal 21" xfId="191"/>
    <cellStyle name="Normal 210" xfId="658"/>
    <cellStyle name="Normal 211" xfId="660"/>
    <cellStyle name="Normal 212" xfId="662"/>
    <cellStyle name="Normal 213" xfId="664"/>
    <cellStyle name="Normal 214" xfId="666"/>
    <cellStyle name="Normal 215" xfId="668"/>
    <cellStyle name="Normal 216" xfId="670"/>
    <cellStyle name="Normal 217" xfId="672"/>
    <cellStyle name="Normal 218" xfId="674"/>
    <cellStyle name="Normal 219" xfId="676"/>
    <cellStyle name="Normal 22" xfId="192"/>
    <cellStyle name="Normal 220" xfId="678"/>
    <cellStyle name="Normal 221" xfId="680"/>
    <cellStyle name="Normal 222" xfId="682"/>
    <cellStyle name="Normal 223" xfId="684"/>
    <cellStyle name="Normal 224" xfId="686"/>
    <cellStyle name="Normal 225" xfId="688"/>
    <cellStyle name="Normal 226" xfId="690"/>
    <cellStyle name="Normal 227" xfId="692"/>
    <cellStyle name="Normal 228" xfId="693"/>
    <cellStyle name="Normal 229" xfId="696"/>
    <cellStyle name="Normal 23" xfId="193"/>
    <cellStyle name="Normal 230" xfId="698"/>
    <cellStyle name="Normal 231" xfId="700"/>
    <cellStyle name="Normal 232" xfId="702"/>
    <cellStyle name="Normal 233" xfId="704"/>
    <cellStyle name="Normal 234" xfId="706"/>
    <cellStyle name="Normal 235" xfId="708"/>
    <cellStyle name="Normal 236" xfId="710"/>
    <cellStyle name="Normal 237" xfId="712"/>
    <cellStyle name="Normal 238" xfId="714"/>
    <cellStyle name="Normal 239" xfId="716"/>
    <cellStyle name="Normal 24" xfId="194"/>
    <cellStyle name="Normal 240" xfId="718"/>
    <cellStyle name="Normal 241" xfId="720"/>
    <cellStyle name="Normal 242" xfId="722"/>
    <cellStyle name="Normal 243" xfId="724"/>
    <cellStyle name="Normal 244" xfId="726"/>
    <cellStyle name="Normal 245" xfId="728"/>
    <cellStyle name="Normal 246" xfId="730"/>
    <cellStyle name="Normal 247" xfId="732"/>
    <cellStyle name="Normal 248" xfId="734"/>
    <cellStyle name="Normal 249" xfId="736"/>
    <cellStyle name="Normal 25" xfId="195"/>
    <cellStyle name="Normal 250" xfId="738"/>
    <cellStyle name="Normal 251" xfId="740"/>
    <cellStyle name="Normal 252" xfId="742"/>
    <cellStyle name="Normal 253" xfId="744"/>
    <cellStyle name="Normal 254" xfId="746"/>
    <cellStyle name="Normal 255" xfId="748"/>
    <cellStyle name="Normal 256" xfId="750"/>
    <cellStyle name="Normal 257" xfId="752"/>
    <cellStyle name="Normal 258" xfId="754"/>
    <cellStyle name="Normal 259" xfId="756"/>
    <cellStyle name="Normal 26" xfId="196"/>
    <cellStyle name="Normal 260" xfId="758"/>
    <cellStyle name="Normal 261" xfId="760"/>
    <cellStyle name="Normal 262" xfId="762"/>
    <cellStyle name="Normal 263" xfId="764"/>
    <cellStyle name="Normal 264" xfId="766"/>
    <cellStyle name="Normal 265" xfId="768"/>
    <cellStyle name="Normal 266" xfId="770"/>
    <cellStyle name="Normal 267" xfId="772"/>
    <cellStyle name="Normal 268" xfId="774"/>
    <cellStyle name="Normal 269" xfId="776"/>
    <cellStyle name="Normal 27" xfId="197"/>
    <cellStyle name="Normal 270" xfId="778"/>
    <cellStyle name="Normal 271" xfId="780"/>
    <cellStyle name="Normal 272" xfId="782"/>
    <cellStyle name="Normal 273" xfId="784"/>
    <cellStyle name="Normal 274" xfId="786"/>
    <cellStyle name="Normal 275" xfId="788"/>
    <cellStyle name="Normal 276" xfId="790"/>
    <cellStyle name="Normal 277" xfId="792"/>
    <cellStyle name="Normal 278" xfId="794"/>
    <cellStyle name="Normal 279" xfId="796"/>
    <cellStyle name="Normal 28" xfId="198"/>
    <cellStyle name="Normal 280" xfId="798"/>
    <cellStyle name="Normal 281" xfId="800"/>
    <cellStyle name="Normal 282" xfId="802"/>
    <cellStyle name="Normal 283" xfId="804"/>
    <cellStyle name="Normal 284" xfId="806"/>
    <cellStyle name="Normal 285" xfId="808"/>
    <cellStyle name="Normal 286" xfId="810"/>
    <cellStyle name="Normal 287" xfId="812"/>
    <cellStyle name="Normal 288" xfId="814"/>
    <cellStyle name="Normal 289" xfId="816"/>
    <cellStyle name="Normal 29" xfId="199"/>
    <cellStyle name="Normal 290" xfId="818"/>
    <cellStyle name="Normal 291" xfId="820"/>
    <cellStyle name="Normal 292" xfId="822"/>
    <cellStyle name="Normal 293" xfId="824"/>
    <cellStyle name="Normal 294" xfId="826"/>
    <cellStyle name="Normal 295" xfId="828"/>
    <cellStyle name="Normal 296" xfId="830"/>
    <cellStyle name="Normal 297" xfId="832"/>
    <cellStyle name="Normal 298" xfId="834"/>
    <cellStyle name="Normal 299" xfId="836"/>
    <cellStyle name="Normal 3" xfId="7"/>
    <cellStyle name="Normal 3 2" xfId="19"/>
    <cellStyle name="Normal 3 2 2" xfId="201"/>
    <cellStyle name="Normal 3 3" xfId="18"/>
    <cellStyle name="Normal 3 3 2" xfId="202"/>
    <cellStyle name="Normal 3 4" xfId="203"/>
    <cellStyle name="Normal 3 5" xfId="204"/>
    <cellStyle name="Normal 3 6" xfId="205"/>
    <cellStyle name="Normal 3 7" xfId="206"/>
    <cellStyle name="Normal 3 8" xfId="207"/>
    <cellStyle name="Normal 3 9" xfId="200"/>
    <cellStyle name="Normal 30" xfId="208"/>
    <cellStyle name="Normal 300" xfId="838"/>
    <cellStyle name="Normal 301" xfId="840"/>
    <cellStyle name="Normal 302" xfId="842"/>
    <cellStyle name="Normal 303" xfId="844"/>
    <cellStyle name="Normal 304" xfId="846"/>
    <cellStyle name="Normal 305" xfId="848"/>
    <cellStyle name="Normal 306" xfId="850"/>
    <cellStyle name="Normal 307" xfId="852"/>
    <cellStyle name="Normal 308" xfId="854"/>
    <cellStyle name="Normal 309" xfId="856"/>
    <cellStyle name="Normal 31" xfId="22"/>
    <cellStyle name="Normal 310" xfId="858"/>
    <cellStyle name="Normal 311" xfId="860"/>
    <cellStyle name="Normal 312" xfId="862"/>
    <cellStyle name="Normal 313" xfId="864"/>
    <cellStyle name="Normal 314" xfId="866"/>
    <cellStyle name="Normal 315" xfId="868"/>
    <cellStyle name="Normal 316" xfId="870"/>
    <cellStyle name="Normal 317" xfId="872"/>
    <cellStyle name="Normal 318" xfId="874"/>
    <cellStyle name="Normal 319" xfId="876"/>
    <cellStyle name="Normal 32" xfId="209"/>
    <cellStyle name="Normal 320" xfId="878"/>
    <cellStyle name="Normal 321" xfId="880"/>
    <cellStyle name="Normal 322" xfId="882"/>
    <cellStyle name="Normal 323" xfId="884"/>
    <cellStyle name="Normal 324" xfId="886"/>
    <cellStyle name="Normal 325" xfId="888"/>
    <cellStyle name="Normal 326" xfId="890"/>
    <cellStyle name="Normal 327" xfId="892"/>
    <cellStyle name="Normal 328" xfId="894"/>
    <cellStyle name="Normal 329" xfId="896"/>
    <cellStyle name="Normal 33" xfId="305"/>
    <cellStyle name="Normal 330" xfId="898"/>
    <cellStyle name="Normal 331" xfId="900"/>
    <cellStyle name="Normal 332" xfId="902"/>
    <cellStyle name="Normal 333" xfId="904"/>
    <cellStyle name="Normal 334" xfId="906"/>
    <cellStyle name="Normal 335" xfId="908"/>
    <cellStyle name="Normal 336" xfId="910"/>
    <cellStyle name="Normal 337" xfId="912"/>
    <cellStyle name="Normal 338" xfId="914"/>
    <cellStyle name="Normal 339" xfId="916"/>
    <cellStyle name="Normal 34" xfId="210"/>
    <cellStyle name="Normal 340" xfId="918"/>
    <cellStyle name="Normal 341" xfId="920"/>
    <cellStyle name="Normal 342" xfId="922"/>
    <cellStyle name="Normal 343" xfId="924"/>
    <cellStyle name="Normal 344" xfId="925"/>
    <cellStyle name="Normal 345" xfId="928"/>
    <cellStyle name="Normal 346" xfId="930"/>
    <cellStyle name="Normal 347" xfId="932"/>
    <cellStyle name="Normal 348" xfId="934"/>
    <cellStyle name="Normal 349" xfId="936"/>
    <cellStyle name="Normal 35" xfId="308"/>
    <cellStyle name="Normal 350" xfId="938"/>
    <cellStyle name="Normal 351" xfId="940"/>
    <cellStyle name="Normal 352" xfId="942"/>
    <cellStyle name="Normal 353" xfId="944"/>
    <cellStyle name="Normal 354" xfId="946"/>
    <cellStyle name="Normal 355" xfId="948"/>
    <cellStyle name="Normal 356" xfId="950"/>
    <cellStyle name="Normal 357" xfId="952"/>
    <cellStyle name="Normal 358" xfId="954"/>
    <cellStyle name="Normal 359" xfId="956"/>
    <cellStyle name="Normal 36" xfId="310"/>
    <cellStyle name="Normal 360" xfId="958"/>
    <cellStyle name="Normal 361" xfId="960"/>
    <cellStyle name="Normal 362" xfId="962"/>
    <cellStyle name="Normal 363" xfId="964"/>
    <cellStyle name="Normal 364" xfId="966"/>
    <cellStyle name="Normal 365" xfId="968"/>
    <cellStyle name="Normal 366" xfId="970"/>
    <cellStyle name="Normal 367" xfId="972"/>
    <cellStyle name="Normal 368" xfId="974"/>
    <cellStyle name="Normal 369" xfId="976"/>
    <cellStyle name="Normal 37" xfId="312"/>
    <cellStyle name="Normal 370" xfId="978"/>
    <cellStyle name="Normal 371" xfId="980"/>
    <cellStyle name="Normal 372" xfId="982"/>
    <cellStyle name="Normal 373" xfId="984"/>
    <cellStyle name="Normal 374" xfId="986"/>
    <cellStyle name="Normal 375" xfId="988"/>
    <cellStyle name="Normal 376" xfId="990"/>
    <cellStyle name="Normal 377" xfId="992"/>
    <cellStyle name="Normal 378" xfId="994"/>
    <cellStyle name="Normal 379" xfId="996"/>
    <cellStyle name="Normal 38" xfId="314"/>
    <cellStyle name="Normal 380" xfId="998"/>
    <cellStyle name="Normal 381" xfId="1000"/>
    <cellStyle name="Normal 382" xfId="1002"/>
    <cellStyle name="Normal 383" xfId="1004"/>
    <cellStyle name="Normal 384" xfId="1006"/>
    <cellStyle name="Normal 385" xfId="1008"/>
    <cellStyle name="Normal 386" xfId="1010"/>
    <cellStyle name="Normal 387" xfId="1012"/>
    <cellStyle name="Normal 388" xfId="1014"/>
    <cellStyle name="Normal 389" xfId="1016"/>
    <cellStyle name="Normal 39" xfId="316"/>
    <cellStyle name="Normal 390" xfId="1018"/>
    <cellStyle name="Normal 391" xfId="1020"/>
    <cellStyle name="Normal 392" xfId="1022"/>
    <cellStyle name="Normal 393" xfId="1024"/>
    <cellStyle name="Normal 394" xfId="1026"/>
    <cellStyle name="Normal 395" xfId="1028"/>
    <cellStyle name="Normal 396" xfId="1030"/>
    <cellStyle name="Normal 397" xfId="1032"/>
    <cellStyle name="Normal 398" xfId="1034"/>
    <cellStyle name="Normal 399" xfId="1036"/>
    <cellStyle name="Normal 4" xfId="8"/>
    <cellStyle name="Normal 4 2" xfId="9"/>
    <cellStyle name="Normal 4 3" xfId="211"/>
    <cellStyle name="Normal 40" xfId="318"/>
    <cellStyle name="Normal 400" xfId="1038"/>
    <cellStyle name="Normal 401" xfId="1040"/>
    <cellStyle name="Normal 402" xfId="1042"/>
    <cellStyle name="Normal 403" xfId="1044"/>
    <cellStyle name="Normal 404" xfId="1046"/>
    <cellStyle name="Normal 405" xfId="1048"/>
    <cellStyle name="Normal 406" xfId="1050"/>
    <cellStyle name="Normal 407" xfId="1052"/>
    <cellStyle name="Normal 408" xfId="1054"/>
    <cellStyle name="Normal 409" xfId="1056"/>
    <cellStyle name="Normal 41" xfId="320"/>
    <cellStyle name="Normal 410" xfId="1058"/>
    <cellStyle name="Normal 411" xfId="1060"/>
    <cellStyle name="Normal 412" xfId="1062"/>
    <cellStyle name="Normal 413" xfId="1064"/>
    <cellStyle name="Normal 414" xfId="1066"/>
    <cellStyle name="Normal 415" xfId="1068"/>
    <cellStyle name="Normal 416" xfId="1070"/>
    <cellStyle name="Normal 417" xfId="1072"/>
    <cellStyle name="Normal 418" xfId="1074"/>
    <cellStyle name="Normal 419" xfId="1076"/>
    <cellStyle name="Normal 42" xfId="322"/>
    <cellStyle name="Normal 42 4 2" xfId="212"/>
    <cellStyle name="Normal 420" xfId="1078"/>
    <cellStyle name="Normal 421" xfId="1080"/>
    <cellStyle name="Normal 422" xfId="1082"/>
    <cellStyle name="Normal 423" xfId="1084"/>
    <cellStyle name="Normal 424" xfId="1086"/>
    <cellStyle name="Normal 425" xfId="1088"/>
    <cellStyle name="Normal 426" xfId="1090"/>
    <cellStyle name="Normal 427" xfId="1092"/>
    <cellStyle name="Normal 428" xfId="1094"/>
    <cellStyle name="Normal 429" xfId="1096"/>
    <cellStyle name="Normal 43" xfId="324"/>
    <cellStyle name="Normal 430" xfId="1098"/>
    <cellStyle name="Normal 431" xfId="1100"/>
    <cellStyle name="Normal 432" xfId="1102"/>
    <cellStyle name="Normal 433" xfId="1104"/>
    <cellStyle name="Normal 434" xfId="1106"/>
    <cellStyle name="Normal 435" xfId="1108"/>
    <cellStyle name="Normal 436" xfId="1110"/>
    <cellStyle name="Normal 437" xfId="1112"/>
    <cellStyle name="Normal 438" xfId="1114"/>
    <cellStyle name="Normal 439" xfId="1116"/>
    <cellStyle name="Normal 44" xfId="326"/>
    <cellStyle name="Normal 440" xfId="1118"/>
    <cellStyle name="Normal 441" xfId="1120"/>
    <cellStyle name="Normal 442" xfId="1122"/>
    <cellStyle name="Normal 443" xfId="1124"/>
    <cellStyle name="Normal 444" xfId="1126"/>
    <cellStyle name="Normal 445" xfId="1128"/>
    <cellStyle name="Normal 446" xfId="1130"/>
    <cellStyle name="Normal 447" xfId="1132"/>
    <cellStyle name="Normal 448" xfId="1134"/>
    <cellStyle name="Normal 449" xfId="1136"/>
    <cellStyle name="Normal 45" xfId="327"/>
    <cellStyle name="Normal 450" xfId="1138"/>
    <cellStyle name="Normal 451" xfId="1140"/>
    <cellStyle name="Normal 452" xfId="1142"/>
    <cellStyle name="Normal 453" xfId="1144"/>
    <cellStyle name="Normal 454" xfId="1146"/>
    <cellStyle name="Normal 455" xfId="1148"/>
    <cellStyle name="Normal 456" xfId="1150"/>
    <cellStyle name="Normal 457" xfId="1152"/>
    <cellStyle name="Normal 458" xfId="1154"/>
    <cellStyle name="Normal 459" xfId="1156"/>
    <cellStyle name="Normal 46" xfId="331"/>
    <cellStyle name="Normal 460" xfId="1158"/>
    <cellStyle name="Normal 461" xfId="1160"/>
    <cellStyle name="Normal 462" xfId="1162"/>
    <cellStyle name="Normal 463" xfId="1164"/>
    <cellStyle name="Normal 464" xfId="1166"/>
    <cellStyle name="Normal 465" xfId="1168"/>
    <cellStyle name="Normal 466" xfId="1170"/>
    <cellStyle name="Normal 467" xfId="1172"/>
    <cellStyle name="Normal 468" xfId="1174"/>
    <cellStyle name="Normal 469" xfId="1176"/>
    <cellStyle name="Normal 47" xfId="333"/>
    <cellStyle name="Normal 470" xfId="1178"/>
    <cellStyle name="Normal 471" xfId="1180"/>
    <cellStyle name="Normal 472" xfId="1182"/>
    <cellStyle name="Normal 473" xfId="1184"/>
    <cellStyle name="Normal 474" xfId="1186"/>
    <cellStyle name="Normal 475" xfId="1188"/>
    <cellStyle name="Normal 476" xfId="1190"/>
    <cellStyle name="Normal 477" xfId="1192"/>
    <cellStyle name="Normal 478" xfId="1194"/>
    <cellStyle name="Normal 479" xfId="1196"/>
    <cellStyle name="Normal 48" xfId="334"/>
    <cellStyle name="Normal 480" xfId="1198"/>
    <cellStyle name="Normal 481" xfId="1199"/>
    <cellStyle name="Normal 482" xfId="1202"/>
    <cellStyle name="Normal 49" xfId="336"/>
    <cellStyle name="Normal 5" xfId="213"/>
    <cellStyle name="Normal 5 2" xfId="214"/>
    <cellStyle name="Normal 5 3" xfId="215"/>
    <cellStyle name="Normal 5 4" xfId="216"/>
    <cellStyle name="Normal 50" xfId="338"/>
    <cellStyle name="Normal 51" xfId="340"/>
    <cellStyle name="Normal 52" xfId="342"/>
    <cellStyle name="Normal 53" xfId="344"/>
    <cellStyle name="Normal 54" xfId="346"/>
    <cellStyle name="Normal 55" xfId="348"/>
    <cellStyle name="Normal 56" xfId="350"/>
    <cellStyle name="Normal 57" xfId="352"/>
    <cellStyle name="Normal 58" xfId="354"/>
    <cellStyle name="Normal 59" xfId="356"/>
    <cellStyle name="Normal 6" xfId="217"/>
    <cellStyle name="Normal 6 2" xfId="218"/>
    <cellStyle name="Normal 6 3" xfId="219"/>
    <cellStyle name="Normal 6 4" xfId="220"/>
    <cellStyle name="Normal 6 5" xfId="221"/>
    <cellStyle name="Normal 6 6" xfId="222"/>
    <cellStyle name="Normal 6 7" xfId="223"/>
    <cellStyle name="Normal 60" xfId="358"/>
    <cellStyle name="Normal 61" xfId="360"/>
    <cellStyle name="Normal 62" xfId="362"/>
    <cellStyle name="Normal 63" xfId="364"/>
    <cellStyle name="Normal 64" xfId="366"/>
    <cellStyle name="Normal 65" xfId="368"/>
    <cellStyle name="Normal 66" xfId="370"/>
    <cellStyle name="Normal 67" xfId="372"/>
    <cellStyle name="Normal 68" xfId="374"/>
    <cellStyle name="Normal 69" xfId="376"/>
    <cellStyle name="Normal 7" xfId="224"/>
    <cellStyle name="Normal 7 2" xfId="225"/>
    <cellStyle name="Normal 7 3" xfId="226"/>
    <cellStyle name="Normal 7 4" xfId="227"/>
    <cellStyle name="Normal 7 5" xfId="228"/>
    <cellStyle name="Normal 7 6" xfId="229"/>
    <cellStyle name="Normal 7 7" xfId="230"/>
    <cellStyle name="Normal 70" xfId="378"/>
    <cellStyle name="Normal 71" xfId="380"/>
    <cellStyle name="Normal 72" xfId="382"/>
    <cellStyle name="Normal 73" xfId="384"/>
    <cellStyle name="Normal 74" xfId="386"/>
    <cellStyle name="Normal 75" xfId="388"/>
    <cellStyle name="Normal 76" xfId="390"/>
    <cellStyle name="Normal 77" xfId="392"/>
    <cellStyle name="Normal 78" xfId="394"/>
    <cellStyle name="Normal 79" xfId="396"/>
    <cellStyle name="Normal 8" xfId="231"/>
    <cellStyle name="Normal 8 2" xfId="232"/>
    <cellStyle name="Normal 8 3" xfId="233"/>
    <cellStyle name="Normal 8 4" xfId="234"/>
    <cellStyle name="Normal 8 5" xfId="235"/>
    <cellStyle name="Normal 8 6" xfId="236"/>
    <cellStyle name="Normal 8 7" xfId="237"/>
    <cellStyle name="Normal 80" xfId="398"/>
    <cellStyle name="Normal 81" xfId="400"/>
    <cellStyle name="Normal 82" xfId="402"/>
    <cellStyle name="Normal 83" xfId="404"/>
    <cellStyle name="Normal 84" xfId="406"/>
    <cellStyle name="Normal 85" xfId="408"/>
    <cellStyle name="Normal 86" xfId="410"/>
    <cellStyle name="Normal 87" xfId="412"/>
    <cellStyle name="Normal 88" xfId="414"/>
    <cellStyle name="Normal 89" xfId="416"/>
    <cellStyle name="Normal 9" xfId="238"/>
    <cellStyle name="Normal 9 2" xfId="239"/>
    <cellStyle name="Normal 9 3" xfId="240"/>
    <cellStyle name="Normal 9 4" xfId="241"/>
    <cellStyle name="Normal 90" xfId="418"/>
    <cellStyle name="Normal 91" xfId="420"/>
    <cellStyle name="Normal 92" xfId="422"/>
    <cellStyle name="Normal 93" xfId="424"/>
    <cellStyle name="Normal 94" xfId="426"/>
    <cellStyle name="Normal 95" xfId="428"/>
    <cellStyle name="Normal 96" xfId="430"/>
    <cellStyle name="Normal 97" xfId="432"/>
    <cellStyle name="Normal 98" xfId="434"/>
    <cellStyle name="Normal 99" xfId="436"/>
    <cellStyle name="Normal_Sheet1" xfId="3"/>
    <cellStyle name="Note" xfId="1271" builtinId="10" customBuiltin="1"/>
    <cellStyle name="Note 2" xfId="242"/>
    <cellStyle name="Note 3" xfId="243"/>
    <cellStyle name="Note 4" xfId="244"/>
    <cellStyle name="Œ…‹æØ‚è [0.00]_!!!GO" xfId="245"/>
    <cellStyle name="Œ…‹æØ‚è_!!!GO" xfId="246"/>
    <cellStyle name="Option" xfId="247"/>
    <cellStyle name="Output" xfId="1266" builtinId="21" customBuiltin="1"/>
    <cellStyle name="Output 2" xfId="248"/>
    <cellStyle name="Output 3" xfId="249"/>
    <cellStyle name="Output 4" xfId="250"/>
    <cellStyle name="per.style" xfId="251"/>
    <cellStyle name="Percent" xfId="1" builtinId="5"/>
    <cellStyle name="Percent .00" xfId="252"/>
    <cellStyle name="Percent [2]" xfId="253"/>
    <cellStyle name="Percent 10" xfId="254"/>
    <cellStyle name="Percent 100" xfId="435"/>
    <cellStyle name="Percent 101" xfId="437"/>
    <cellStyle name="Percent 102" xfId="439"/>
    <cellStyle name="Percent 103" xfId="441"/>
    <cellStyle name="Percent 104" xfId="443"/>
    <cellStyle name="Percent 105" xfId="445"/>
    <cellStyle name="Percent 106" xfId="447"/>
    <cellStyle name="Percent 107" xfId="449"/>
    <cellStyle name="Percent 108" xfId="451"/>
    <cellStyle name="Percent 109" xfId="453"/>
    <cellStyle name="Percent 11" xfId="255"/>
    <cellStyle name="Percent 110" xfId="455"/>
    <cellStyle name="Percent 111" xfId="457"/>
    <cellStyle name="Percent 112" xfId="459"/>
    <cellStyle name="Percent 113" xfId="461"/>
    <cellStyle name="Percent 114" xfId="463"/>
    <cellStyle name="Percent 115" xfId="465"/>
    <cellStyle name="Percent 116" xfId="467"/>
    <cellStyle name="Percent 117" xfId="469"/>
    <cellStyle name="Percent 118" xfId="471"/>
    <cellStyle name="Percent 119" xfId="473"/>
    <cellStyle name="Percent 12" xfId="256"/>
    <cellStyle name="Percent 120" xfId="475"/>
    <cellStyle name="Percent 121" xfId="477"/>
    <cellStyle name="Percent 122" xfId="479"/>
    <cellStyle name="Percent 123" xfId="481"/>
    <cellStyle name="Percent 124" xfId="483"/>
    <cellStyle name="Percent 125" xfId="485"/>
    <cellStyle name="Percent 126" xfId="487"/>
    <cellStyle name="Percent 127" xfId="489"/>
    <cellStyle name="Percent 128" xfId="491"/>
    <cellStyle name="Percent 129" xfId="493"/>
    <cellStyle name="Percent 13" xfId="257"/>
    <cellStyle name="Percent 130" xfId="495"/>
    <cellStyle name="Percent 131" xfId="497"/>
    <cellStyle name="Percent 132" xfId="499"/>
    <cellStyle name="Percent 133" xfId="501"/>
    <cellStyle name="Percent 134" xfId="503"/>
    <cellStyle name="Percent 135" xfId="505"/>
    <cellStyle name="Percent 136" xfId="507"/>
    <cellStyle name="Percent 137" xfId="509"/>
    <cellStyle name="Percent 138" xfId="511"/>
    <cellStyle name="Percent 139" xfId="513"/>
    <cellStyle name="Percent 14" xfId="258"/>
    <cellStyle name="Percent 140" xfId="515"/>
    <cellStyle name="Percent 141" xfId="517"/>
    <cellStyle name="Percent 142" xfId="519"/>
    <cellStyle name="Percent 143" xfId="521"/>
    <cellStyle name="Percent 144" xfId="523"/>
    <cellStyle name="Percent 145" xfId="525"/>
    <cellStyle name="Percent 146" xfId="527"/>
    <cellStyle name="Percent 147" xfId="529"/>
    <cellStyle name="Percent 148" xfId="531"/>
    <cellStyle name="Percent 149" xfId="533"/>
    <cellStyle name="Percent 15" xfId="259"/>
    <cellStyle name="Percent 150" xfId="535"/>
    <cellStyle name="Percent 151" xfId="537"/>
    <cellStyle name="Percent 152" xfId="539"/>
    <cellStyle name="Percent 153" xfId="541"/>
    <cellStyle name="Percent 154" xfId="543"/>
    <cellStyle name="Percent 155" xfId="545"/>
    <cellStyle name="Percent 156" xfId="547"/>
    <cellStyle name="Percent 157" xfId="549"/>
    <cellStyle name="Percent 158" xfId="551"/>
    <cellStyle name="Percent 159" xfId="553"/>
    <cellStyle name="Percent 16" xfId="260"/>
    <cellStyle name="Percent 160" xfId="555"/>
    <cellStyle name="Percent 161" xfId="557"/>
    <cellStyle name="Percent 162" xfId="559"/>
    <cellStyle name="Percent 163" xfId="561"/>
    <cellStyle name="Percent 164" xfId="563"/>
    <cellStyle name="Percent 165" xfId="565"/>
    <cellStyle name="Percent 166" xfId="567"/>
    <cellStyle name="Percent 167" xfId="569"/>
    <cellStyle name="Percent 168" xfId="571"/>
    <cellStyle name="Percent 169" xfId="573"/>
    <cellStyle name="Percent 17" xfId="261"/>
    <cellStyle name="Percent 170" xfId="575"/>
    <cellStyle name="Percent 171" xfId="577"/>
    <cellStyle name="Percent 172" xfId="579"/>
    <cellStyle name="Percent 173" xfId="581"/>
    <cellStyle name="Percent 174" xfId="583"/>
    <cellStyle name="Percent 175" xfId="585"/>
    <cellStyle name="Percent 176" xfId="587"/>
    <cellStyle name="Percent 177" xfId="589"/>
    <cellStyle name="Percent 178" xfId="591"/>
    <cellStyle name="Percent 179" xfId="593"/>
    <cellStyle name="Percent 18" xfId="262"/>
    <cellStyle name="Percent 180" xfId="595"/>
    <cellStyle name="Percent 181" xfId="597"/>
    <cellStyle name="Percent 182" xfId="599"/>
    <cellStyle name="Percent 183" xfId="601"/>
    <cellStyle name="Percent 184" xfId="603"/>
    <cellStyle name="Percent 185" xfId="605"/>
    <cellStyle name="Percent 186" xfId="607"/>
    <cellStyle name="Percent 187" xfId="609"/>
    <cellStyle name="Percent 188" xfId="611"/>
    <cellStyle name="Percent 189" xfId="613"/>
    <cellStyle name="Percent 19" xfId="263"/>
    <cellStyle name="Percent 190" xfId="615"/>
    <cellStyle name="Percent 191" xfId="617"/>
    <cellStyle name="Percent 192" xfId="619"/>
    <cellStyle name="Percent 193" xfId="621"/>
    <cellStyle name="Percent 194" xfId="623"/>
    <cellStyle name="Percent 195" xfId="625"/>
    <cellStyle name="Percent 196" xfId="627"/>
    <cellStyle name="Percent 197" xfId="629"/>
    <cellStyle name="Percent 198" xfId="631"/>
    <cellStyle name="Percent 199" xfId="633"/>
    <cellStyle name="Percent 2" xfId="10"/>
    <cellStyle name="Percent 2 2" xfId="11"/>
    <cellStyle name="Percent 2 3" xfId="12"/>
    <cellStyle name="Percent 2 4" xfId="264"/>
    <cellStyle name="Percent 2 5" xfId="1201"/>
    <cellStyle name="Percent 20" xfId="265"/>
    <cellStyle name="Percent 200" xfId="635"/>
    <cellStyle name="Percent 201" xfId="637"/>
    <cellStyle name="Percent 202" xfId="639"/>
    <cellStyle name="Percent 203" xfId="641"/>
    <cellStyle name="Percent 204" xfId="643"/>
    <cellStyle name="Percent 205" xfId="645"/>
    <cellStyle name="Percent 206" xfId="647"/>
    <cellStyle name="Percent 207" xfId="649"/>
    <cellStyle name="Percent 208" xfId="651"/>
    <cellStyle name="Percent 209" xfId="653"/>
    <cellStyle name="Percent 21" xfId="266"/>
    <cellStyle name="Percent 210" xfId="655"/>
    <cellStyle name="Percent 211" xfId="657"/>
    <cellStyle name="Percent 212" xfId="659"/>
    <cellStyle name="Percent 213" xfId="661"/>
    <cellStyle name="Percent 214" xfId="663"/>
    <cellStyle name="Percent 215" xfId="665"/>
    <cellStyle name="Percent 216" xfId="667"/>
    <cellStyle name="Percent 217" xfId="669"/>
    <cellStyle name="Percent 218" xfId="671"/>
    <cellStyle name="Percent 219" xfId="673"/>
    <cellStyle name="Percent 22" xfId="267"/>
    <cellStyle name="Percent 220" xfId="675"/>
    <cellStyle name="Percent 221" xfId="677"/>
    <cellStyle name="Percent 222" xfId="679"/>
    <cellStyle name="Percent 223" xfId="681"/>
    <cellStyle name="Percent 224" xfId="683"/>
    <cellStyle name="Percent 225" xfId="685"/>
    <cellStyle name="Percent 226" xfId="687"/>
    <cellStyle name="Percent 227" xfId="689"/>
    <cellStyle name="Percent 228" xfId="691"/>
    <cellStyle name="Percent 229" xfId="694"/>
    <cellStyle name="Percent 23" xfId="21"/>
    <cellStyle name="Percent 230" xfId="695"/>
    <cellStyle name="Percent 231" xfId="697"/>
    <cellStyle name="Percent 232" xfId="699"/>
    <cellStyle name="Percent 233" xfId="701"/>
    <cellStyle name="Percent 234" xfId="703"/>
    <cellStyle name="Percent 235" xfId="705"/>
    <cellStyle name="Percent 236" xfId="707"/>
    <cellStyle name="Percent 237" xfId="709"/>
    <cellStyle name="Percent 238" xfId="711"/>
    <cellStyle name="Percent 239" xfId="713"/>
    <cellStyle name="Percent 24" xfId="20"/>
    <cellStyle name="Percent 240" xfId="715"/>
    <cellStyle name="Percent 241" xfId="717"/>
    <cellStyle name="Percent 242" xfId="719"/>
    <cellStyle name="Percent 243" xfId="721"/>
    <cellStyle name="Percent 244" xfId="723"/>
    <cellStyle name="Percent 245" xfId="725"/>
    <cellStyle name="Percent 246" xfId="727"/>
    <cellStyle name="Percent 247" xfId="729"/>
    <cellStyle name="Percent 248" xfId="731"/>
    <cellStyle name="Percent 249" xfId="733"/>
    <cellStyle name="Percent 25" xfId="303"/>
    <cellStyle name="Percent 250" xfId="735"/>
    <cellStyle name="Percent 251" xfId="737"/>
    <cellStyle name="Percent 252" xfId="739"/>
    <cellStyle name="Percent 253" xfId="741"/>
    <cellStyle name="Percent 254" xfId="743"/>
    <cellStyle name="Percent 255" xfId="745"/>
    <cellStyle name="Percent 256" xfId="747"/>
    <cellStyle name="Percent 257" xfId="749"/>
    <cellStyle name="Percent 258" xfId="751"/>
    <cellStyle name="Percent 259" xfId="753"/>
    <cellStyle name="Percent 26" xfId="295"/>
    <cellStyle name="Percent 260" xfId="755"/>
    <cellStyle name="Percent 261" xfId="757"/>
    <cellStyle name="Percent 262" xfId="759"/>
    <cellStyle name="Percent 263" xfId="761"/>
    <cellStyle name="Percent 264" xfId="763"/>
    <cellStyle name="Percent 265" xfId="765"/>
    <cellStyle name="Percent 266" xfId="767"/>
    <cellStyle name="Percent 267" xfId="769"/>
    <cellStyle name="Percent 268" xfId="771"/>
    <cellStyle name="Percent 269" xfId="773"/>
    <cellStyle name="Percent 27" xfId="302"/>
    <cellStyle name="Percent 270" xfId="775"/>
    <cellStyle name="Percent 271" xfId="777"/>
    <cellStyle name="Percent 272" xfId="779"/>
    <cellStyle name="Percent 273" xfId="781"/>
    <cellStyle name="Percent 274" xfId="783"/>
    <cellStyle name="Percent 275" xfId="785"/>
    <cellStyle name="Percent 276" xfId="787"/>
    <cellStyle name="Percent 277" xfId="789"/>
    <cellStyle name="Percent 278" xfId="791"/>
    <cellStyle name="Percent 279" xfId="793"/>
    <cellStyle name="Percent 28" xfId="296"/>
    <cellStyle name="Percent 280" xfId="795"/>
    <cellStyle name="Percent 281" xfId="797"/>
    <cellStyle name="Percent 282" xfId="799"/>
    <cellStyle name="Percent 283" xfId="801"/>
    <cellStyle name="Percent 284" xfId="803"/>
    <cellStyle name="Percent 285" xfId="805"/>
    <cellStyle name="Percent 286" xfId="807"/>
    <cellStyle name="Percent 287" xfId="809"/>
    <cellStyle name="Percent 288" xfId="811"/>
    <cellStyle name="Percent 289" xfId="813"/>
    <cellStyle name="Percent 29" xfId="301"/>
    <cellStyle name="Percent 290" xfId="815"/>
    <cellStyle name="Percent 291" xfId="817"/>
    <cellStyle name="Percent 292" xfId="819"/>
    <cellStyle name="Percent 293" xfId="821"/>
    <cellStyle name="Percent 294" xfId="823"/>
    <cellStyle name="Percent 295" xfId="825"/>
    <cellStyle name="Percent 296" xfId="827"/>
    <cellStyle name="Percent 297" xfId="829"/>
    <cellStyle name="Percent 298" xfId="831"/>
    <cellStyle name="Percent 299" xfId="833"/>
    <cellStyle name="Percent 3" xfId="13"/>
    <cellStyle name="Percent 3 2" xfId="268"/>
    <cellStyle name="Percent 30" xfId="297"/>
    <cellStyle name="Percent 300" xfId="835"/>
    <cellStyle name="Percent 301" xfId="837"/>
    <cellStyle name="Percent 302" xfId="839"/>
    <cellStyle name="Percent 303" xfId="841"/>
    <cellStyle name="Percent 304" xfId="843"/>
    <cellStyle name="Percent 305" xfId="845"/>
    <cellStyle name="Percent 306" xfId="847"/>
    <cellStyle name="Percent 307" xfId="849"/>
    <cellStyle name="Percent 308" xfId="851"/>
    <cellStyle name="Percent 309" xfId="853"/>
    <cellStyle name="Percent 31" xfId="300"/>
    <cellStyle name="Percent 310" xfId="855"/>
    <cellStyle name="Percent 311" xfId="857"/>
    <cellStyle name="Percent 312" xfId="859"/>
    <cellStyle name="Percent 313" xfId="861"/>
    <cellStyle name="Percent 314" xfId="863"/>
    <cellStyle name="Percent 315" xfId="865"/>
    <cellStyle name="Percent 316" xfId="867"/>
    <cellStyle name="Percent 317" xfId="869"/>
    <cellStyle name="Percent 318" xfId="871"/>
    <cellStyle name="Percent 319" xfId="873"/>
    <cellStyle name="Percent 32" xfId="304"/>
    <cellStyle name="Percent 320" xfId="875"/>
    <cellStyle name="Percent 321" xfId="877"/>
    <cellStyle name="Percent 322" xfId="879"/>
    <cellStyle name="Percent 323" xfId="881"/>
    <cellStyle name="Percent 324" xfId="883"/>
    <cellStyle name="Percent 325" xfId="885"/>
    <cellStyle name="Percent 326" xfId="887"/>
    <cellStyle name="Percent 327" xfId="889"/>
    <cellStyle name="Percent 328" xfId="891"/>
    <cellStyle name="Percent 329" xfId="893"/>
    <cellStyle name="Percent 33" xfId="299"/>
    <cellStyle name="Percent 330" xfId="895"/>
    <cellStyle name="Percent 331" xfId="897"/>
    <cellStyle name="Percent 332" xfId="899"/>
    <cellStyle name="Percent 333" xfId="901"/>
    <cellStyle name="Percent 334" xfId="903"/>
    <cellStyle name="Percent 335" xfId="905"/>
    <cellStyle name="Percent 336" xfId="907"/>
    <cellStyle name="Percent 337" xfId="909"/>
    <cellStyle name="Percent 338" xfId="911"/>
    <cellStyle name="Percent 339" xfId="913"/>
    <cellStyle name="Percent 34" xfId="298"/>
    <cellStyle name="Percent 340" xfId="915"/>
    <cellStyle name="Percent 341" xfId="917"/>
    <cellStyle name="Percent 342" xfId="919"/>
    <cellStyle name="Percent 343" xfId="921"/>
    <cellStyle name="Percent 344" xfId="923"/>
    <cellStyle name="Percent 345" xfId="926"/>
    <cellStyle name="Percent 346" xfId="927"/>
    <cellStyle name="Percent 347" xfId="929"/>
    <cellStyle name="Percent 348" xfId="931"/>
    <cellStyle name="Percent 349" xfId="933"/>
    <cellStyle name="Percent 35" xfId="306"/>
    <cellStyle name="Percent 350" xfId="935"/>
    <cellStyle name="Percent 351" xfId="937"/>
    <cellStyle name="Percent 352" xfId="939"/>
    <cellStyle name="Percent 353" xfId="941"/>
    <cellStyle name="Percent 354" xfId="943"/>
    <cellStyle name="Percent 355" xfId="945"/>
    <cellStyle name="Percent 356" xfId="947"/>
    <cellStyle name="Percent 357" xfId="949"/>
    <cellStyle name="Percent 358" xfId="951"/>
    <cellStyle name="Percent 359" xfId="953"/>
    <cellStyle name="Percent 36" xfId="307"/>
    <cellStyle name="Percent 360" xfId="955"/>
    <cellStyle name="Percent 361" xfId="957"/>
    <cellStyle name="Percent 362" xfId="959"/>
    <cellStyle name="Percent 363" xfId="961"/>
    <cellStyle name="Percent 364" xfId="963"/>
    <cellStyle name="Percent 365" xfId="965"/>
    <cellStyle name="Percent 366" xfId="967"/>
    <cellStyle name="Percent 367" xfId="969"/>
    <cellStyle name="Percent 368" xfId="971"/>
    <cellStyle name="Percent 369" xfId="973"/>
    <cellStyle name="Percent 37" xfId="309"/>
    <cellStyle name="Percent 370" xfId="975"/>
    <cellStyle name="Percent 371" xfId="977"/>
    <cellStyle name="Percent 372" xfId="979"/>
    <cellStyle name="Percent 373" xfId="981"/>
    <cellStyle name="Percent 374" xfId="983"/>
    <cellStyle name="Percent 375" xfId="985"/>
    <cellStyle name="Percent 376" xfId="987"/>
    <cellStyle name="Percent 377" xfId="989"/>
    <cellStyle name="Percent 378" xfId="991"/>
    <cellStyle name="Percent 379" xfId="993"/>
    <cellStyle name="Percent 38" xfId="311"/>
    <cellStyle name="Percent 380" xfId="995"/>
    <cellStyle name="Percent 381" xfId="997"/>
    <cellStyle name="Percent 382" xfId="999"/>
    <cellStyle name="Percent 383" xfId="1001"/>
    <cellStyle name="Percent 384" xfId="1003"/>
    <cellStyle name="Percent 385" xfId="1005"/>
    <cellStyle name="Percent 386" xfId="1007"/>
    <cellStyle name="Percent 387" xfId="1009"/>
    <cellStyle name="Percent 388" xfId="1011"/>
    <cellStyle name="Percent 389" xfId="1013"/>
    <cellStyle name="Percent 39" xfId="313"/>
    <cellStyle name="Percent 390" xfId="1015"/>
    <cellStyle name="Percent 391" xfId="1017"/>
    <cellStyle name="Percent 392" xfId="1019"/>
    <cellStyle name="Percent 393" xfId="1021"/>
    <cellStyle name="Percent 394" xfId="1023"/>
    <cellStyle name="Percent 395" xfId="1025"/>
    <cellStyle name="Percent 396" xfId="1027"/>
    <cellStyle name="Percent 397" xfId="1029"/>
    <cellStyle name="Percent 398" xfId="1031"/>
    <cellStyle name="Percent 399" xfId="1033"/>
    <cellStyle name="Percent 4" xfId="14"/>
    <cellStyle name="Percent 4 2" xfId="15"/>
    <cellStyle name="Percent 4 3" xfId="269"/>
    <cellStyle name="Percent 40" xfId="315"/>
    <cellStyle name="Percent 400" xfId="1035"/>
    <cellStyle name="Percent 401" xfId="1037"/>
    <cellStyle name="Percent 402" xfId="1039"/>
    <cellStyle name="Percent 403" xfId="1041"/>
    <cellStyle name="Percent 404" xfId="1043"/>
    <cellStyle name="Percent 405" xfId="1045"/>
    <cellStyle name="Percent 406" xfId="1047"/>
    <cellStyle name="Percent 407" xfId="1049"/>
    <cellStyle name="Percent 408" xfId="1051"/>
    <cellStyle name="Percent 409" xfId="1053"/>
    <cellStyle name="Percent 41" xfId="317"/>
    <cellStyle name="Percent 410" xfId="1055"/>
    <cellStyle name="Percent 411" xfId="1057"/>
    <cellStyle name="Percent 412" xfId="1059"/>
    <cellStyle name="Percent 413" xfId="1061"/>
    <cellStyle name="Percent 414" xfId="1063"/>
    <cellStyle name="Percent 415" xfId="1065"/>
    <cellStyle name="Percent 416" xfId="1067"/>
    <cellStyle name="Percent 417" xfId="1069"/>
    <cellStyle name="Percent 418" xfId="1071"/>
    <cellStyle name="Percent 419" xfId="1073"/>
    <cellStyle name="Percent 42" xfId="319"/>
    <cellStyle name="Percent 420" xfId="1075"/>
    <cellStyle name="Percent 421" xfId="1077"/>
    <cellStyle name="Percent 422" xfId="1079"/>
    <cellStyle name="Percent 423" xfId="1081"/>
    <cellStyle name="Percent 424" xfId="1083"/>
    <cellStyle name="Percent 425" xfId="1085"/>
    <cellStyle name="Percent 426" xfId="1087"/>
    <cellStyle name="Percent 427" xfId="1089"/>
    <cellStyle name="Percent 428" xfId="1091"/>
    <cellStyle name="Percent 429" xfId="1093"/>
    <cellStyle name="Percent 43" xfId="321"/>
    <cellStyle name="Percent 430" xfId="1095"/>
    <cellStyle name="Percent 431" xfId="1097"/>
    <cellStyle name="Percent 432" xfId="1099"/>
    <cellStyle name="Percent 433" xfId="1101"/>
    <cellStyle name="Percent 434" xfId="1103"/>
    <cellStyle name="Percent 435" xfId="1105"/>
    <cellStyle name="Percent 436" xfId="1107"/>
    <cellStyle name="Percent 437" xfId="1109"/>
    <cellStyle name="Percent 438" xfId="1111"/>
    <cellStyle name="Percent 439" xfId="1113"/>
    <cellStyle name="Percent 44" xfId="323"/>
    <cellStyle name="Percent 440" xfId="1115"/>
    <cellStyle name="Percent 441" xfId="1117"/>
    <cellStyle name="Percent 442" xfId="1119"/>
    <cellStyle name="Percent 443" xfId="1121"/>
    <cellStyle name="Percent 444" xfId="1123"/>
    <cellStyle name="Percent 445" xfId="1125"/>
    <cellStyle name="Percent 446" xfId="1127"/>
    <cellStyle name="Percent 447" xfId="1129"/>
    <cellStyle name="Percent 448" xfId="1131"/>
    <cellStyle name="Percent 449" xfId="1133"/>
    <cellStyle name="Percent 45" xfId="325"/>
    <cellStyle name="Percent 450" xfId="1135"/>
    <cellStyle name="Percent 451" xfId="1137"/>
    <cellStyle name="Percent 452" xfId="1139"/>
    <cellStyle name="Percent 453" xfId="1141"/>
    <cellStyle name="Percent 454" xfId="1143"/>
    <cellStyle name="Percent 455" xfId="1145"/>
    <cellStyle name="Percent 456" xfId="1147"/>
    <cellStyle name="Percent 457" xfId="1149"/>
    <cellStyle name="Percent 458" xfId="1151"/>
    <cellStyle name="Percent 459" xfId="1153"/>
    <cellStyle name="Percent 46" xfId="328"/>
    <cellStyle name="Percent 460" xfId="1155"/>
    <cellStyle name="Percent 461" xfId="1157"/>
    <cellStyle name="Percent 462" xfId="1159"/>
    <cellStyle name="Percent 463" xfId="1161"/>
    <cellStyle name="Percent 464" xfId="1163"/>
    <cellStyle name="Percent 465" xfId="1165"/>
    <cellStyle name="Percent 466" xfId="1167"/>
    <cellStyle name="Percent 467" xfId="1169"/>
    <cellStyle name="Percent 468" xfId="1171"/>
    <cellStyle name="Percent 469" xfId="1173"/>
    <cellStyle name="Percent 47" xfId="330"/>
    <cellStyle name="Percent 470" xfId="1175"/>
    <cellStyle name="Percent 471" xfId="1177"/>
    <cellStyle name="Percent 472" xfId="1179"/>
    <cellStyle name="Percent 473" xfId="1181"/>
    <cellStyle name="Percent 474" xfId="1183"/>
    <cellStyle name="Percent 475" xfId="1185"/>
    <cellStyle name="Percent 476" xfId="1187"/>
    <cellStyle name="Percent 477" xfId="1189"/>
    <cellStyle name="Percent 478" xfId="1191"/>
    <cellStyle name="Percent 479" xfId="1193"/>
    <cellStyle name="Percent 48" xfId="332"/>
    <cellStyle name="Percent 480" xfId="1195"/>
    <cellStyle name="Percent 481" xfId="1197"/>
    <cellStyle name="Percent 482" xfId="1200"/>
    <cellStyle name="Percent 483" xfId="1203"/>
    <cellStyle name="Percent 49" xfId="329"/>
    <cellStyle name="Percent 5" xfId="270"/>
    <cellStyle name="Percent 50" xfId="335"/>
    <cellStyle name="Percent 51" xfId="337"/>
    <cellStyle name="Percent 52" xfId="339"/>
    <cellStyle name="Percent 53" xfId="341"/>
    <cellStyle name="Percent 54" xfId="343"/>
    <cellStyle name="Percent 55" xfId="345"/>
    <cellStyle name="Percent 56" xfId="347"/>
    <cellStyle name="Percent 57" xfId="349"/>
    <cellStyle name="Percent 58" xfId="351"/>
    <cellStyle name="Percent 59" xfId="353"/>
    <cellStyle name="Percent 6" xfId="271"/>
    <cellStyle name="Percent 60" xfId="355"/>
    <cellStyle name="Percent 61" xfId="357"/>
    <cellStyle name="Percent 62" xfId="359"/>
    <cellStyle name="Percent 63" xfId="361"/>
    <cellStyle name="Percent 64" xfId="363"/>
    <cellStyle name="Percent 65" xfId="365"/>
    <cellStyle name="Percent 66" xfId="367"/>
    <cellStyle name="Percent 67" xfId="369"/>
    <cellStyle name="Percent 68" xfId="371"/>
    <cellStyle name="Percent 69" xfId="373"/>
    <cellStyle name="Percent 7" xfId="272"/>
    <cellStyle name="Percent 70" xfId="375"/>
    <cellStyle name="Percent 71" xfId="377"/>
    <cellStyle name="Percent 72" xfId="379"/>
    <cellStyle name="Percent 73" xfId="381"/>
    <cellStyle name="Percent 74" xfId="383"/>
    <cellStyle name="Percent 75" xfId="385"/>
    <cellStyle name="Percent 76" xfId="387"/>
    <cellStyle name="Percent 77" xfId="389"/>
    <cellStyle name="Percent 78" xfId="391"/>
    <cellStyle name="Percent 79" xfId="393"/>
    <cellStyle name="Percent 8" xfId="273"/>
    <cellStyle name="Percent 80" xfId="395"/>
    <cellStyle name="Percent 81" xfId="397"/>
    <cellStyle name="Percent 82" xfId="399"/>
    <cellStyle name="Percent 83" xfId="401"/>
    <cellStyle name="Percent 84" xfId="403"/>
    <cellStyle name="Percent 85" xfId="405"/>
    <cellStyle name="Percent 86" xfId="407"/>
    <cellStyle name="Percent 87" xfId="409"/>
    <cellStyle name="Percent 88" xfId="411"/>
    <cellStyle name="Percent 89" xfId="413"/>
    <cellStyle name="Percent 9" xfId="274"/>
    <cellStyle name="Percent 90" xfId="415"/>
    <cellStyle name="Percent 91" xfId="417"/>
    <cellStyle name="Percent 92" xfId="419"/>
    <cellStyle name="Percent 93" xfId="421"/>
    <cellStyle name="Percent 94" xfId="423"/>
    <cellStyle name="Percent 95" xfId="425"/>
    <cellStyle name="Percent 96" xfId="427"/>
    <cellStyle name="Percent 97" xfId="429"/>
    <cellStyle name="Percent 98" xfId="431"/>
    <cellStyle name="Percent 99" xfId="433"/>
    <cellStyle name="pricing" xfId="275"/>
    <cellStyle name="PSChar" xfId="276"/>
    <cellStyle name="PSHeading" xfId="277"/>
    <cellStyle name="PSHeading 2" xfId="278"/>
    <cellStyle name="regstoresfromspecstores" xfId="279"/>
    <cellStyle name="RevList" xfId="280"/>
    <cellStyle name="Section" xfId="281"/>
    <cellStyle name="SHADEDSTORES" xfId="282"/>
    <cellStyle name="SHADEDSTORES 2" xfId="283"/>
    <cellStyle name="specstores" xfId="284"/>
    <cellStyle name="Subtotal" xfId="285"/>
    <cellStyle name="Title" xfId="1257" builtinId="15" customBuiltin="1"/>
    <cellStyle name="Title 2" xfId="286"/>
    <cellStyle name="Title 3" xfId="287"/>
    <cellStyle name="Title 4" xfId="288"/>
    <cellStyle name="Title 5" xfId="1298"/>
    <cellStyle name="Total" xfId="1273" builtinId="25" customBuiltin="1"/>
    <cellStyle name="Total 2" xfId="289"/>
    <cellStyle name="Total 3" xfId="290"/>
    <cellStyle name="Total 4" xfId="291"/>
    <cellStyle name="Warning Text" xfId="1270" builtinId="11" customBuiltin="1"/>
    <cellStyle name="Warning Text 2" xfId="292"/>
    <cellStyle name="Warning Text 3" xfId="293"/>
    <cellStyle name="Warning Text 4" xfId="294"/>
  </cellStyles>
  <dxfs count="71">
    <dxf>
      <fill>
        <patternFill>
          <bgColor rgb="FFED6459"/>
        </patternFill>
      </fill>
      <border>
        <vertical/>
        <horizontal/>
      </border>
    </dxf>
    <dxf>
      <font>
        <color rgb="FF9C0006"/>
      </font>
      <fill>
        <patternFill>
          <bgColor rgb="FFFFC7CE"/>
        </patternFill>
      </fill>
    </dxf>
    <dxf>
      <font>
        <color rgb="FF006100"/>
      </font>
      <fill>
        <patternFill>
          <bgColor rgb="FFC6EFCE"/>
        </patternFill>
      </fill>
    </dxf>
    <dxf>
      <fill>
        <patternFill>
          <bgColor theme="9" tint="0.59996337778862885"/>
        </patternFill>
      </fill>
      <border>
        <left style="thin">
          <color rgb="FFFFC000"/>
        </left>
        <right style="thin">
          <color rgb="FFFFC000"/>
        </right>
        <top style="thin">
          <color rgb="FFFFC000"/>
        </top>
        <bottom style="thin">
          <color rgb="FFFFC000"/>
        </bottom>
        <vertical/>
        <horizontal/>
      </border>
    </dxf>
    <dxf>
      <fill>
        <patternFill patternType="solid">
          <bgColor theme="4" tint="-0.249977111117893"/>
        </patternFill>
      </fill>
    </dxf>
    <dxf>
      <font>
        <b/>
      </font>
    </dxf>
    <dxf>
      <numFmt numFmtId="164" formatCode="0.0%"/>
    </dxf>
    <dxf>
      <numFmt numFmtId="164" formatCode="0.0%"/>
    </dxf>
    <dxf>
      <alignment wrapText="1"/>
    </dxf>
    <dxf>
      <alignment wrapText="1"/>
    </dxf>
    <dxf>
      <alignment horizontal="center" readingOrder="0"/>
    </dxf>
    <dxf>
      <numFmt numFmtId="14" formatCode="0.00%"/>
    </dxf>
    <dxf>
      <fill>
        <patternFill patternType="solid">
          <bgColor theme="4" tint="-0.249977111117893"/>
        </patternFill>
      </fill>
    </dxf>
    <dxf>
      <fill>
        <patternFill patternType="solid">
          <bgColor theme="4" tint="-0.249977111117893"/>
        </patternFill>
      </fill>
    </dxf>
    <dxf>
      <font>
        <b/>
      </font>
    </dxf>
    <dxf>
      <font>
        <b/>
      </font>
    </dxf>
    <dxf>
      <font>
        <b/>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bgColor auto="1"/>
        </patternFill>
      </fill>
    </dxf>
    <dxf>
      <font>
        <color theme="4" tint="-0.249977111117893"/>
      </font>
    </dxf>
    <dxf>
      <fill>
        <patternFill patternType="solid">
          <bgColor theme="4" tint="-0.249977111117893"/>
        </patternFill>
      </fill>
    </dxf>
    <dxf>
      <font>
        <b/>
      </font>
    </dxf>
    <dxf>
      <border>
        <right/>
        <top/>
      </border>
    </dxf>
    <dxf>
      <border>
        <right/>
        <top/>
      </border>
    </dxf>
    <dxf>
      <font>
        <b/>
      </font>
    </dxf>
    <dxf>
      <fill>
        <patternFill patternType="solid">
          <bgColor theme="4" tint="-0.249977111117893"/>
        </patternFill>
      </fill>
    </dxf>
    <dxf>
      <alignment horizontal="center" vertical="center" textRotation="0" wrapText="1" indent="0" justifyLastLine="0" shrinkToFit="0" readingOrder="0"/>
    </dxf>
    <dxf>
      <alignment horizontal="center" vertical="center" textRotation="0" wrapText="1" indent="0" justifyLastLine="0" shrinkToFit="0" readingOrder="0"/>
      <border outline="0">
        <right style="medium">
          <color rgb="FFF5F4F3"/>
        </right>
      </border>
    </dxf>
    <dxf>
      <font>
        <b val="0"/>
        <i val="0"/>
        <strike val="0"/>
        <condense val="0"/>
        <extend val="0"/>
        <outline val="0"/>
        <shadow val="0"/>
        <u val="none"/>
        <vertAlign val="baseline"/>
        <sz val="11"/>
        <color rgb="FF000000"/>
        <name val="Arial"/>
        <scheme val="none"/>
      </font>
      <numFmt numFmtId="13" formatCode="0%"/>
      <fill>
        <patternFill patternType="solid">
          <fgColor indexed="64"/>
          <bgColor rgb="FFF9F9F9"/>
        </patternFill>
      </fill>
      <alignment horizontal="center" vertical="center" textRotation="0" wrapText="1" indent="0" justifyLastLine="0" shrinkToFit="0" readingOrder="0"/>
      <border diagonalUp="0" diagonalDown="0" outline="0">
        <left/>
        <right style="medium">
          <color rgb="FFF5F4F3"/>
        </right>
        <top/>
        <bottom style="medium">
          <color rgb="FFF5F4F3"/>
        </bottom>
      </border>
    </dxf>
    <dxf>
      <font>
        <b val="0"/>
        <i val="0"/>
        <strike val="0"/>
        <condense val="0"/>
        <extend val="0"/>
        <outline val="0"/>
        <shadow val="0"/>
        <u val="none"/>
        <vertAlign val="baseline"/>
        <sz val="11"/>
        <color rgb="FF000000"/>
        <name val="Arial"/>
        <scheme val="none"/>
      </font>
      <numFmt numFmtId="13" formatCode="0%"/>
      <fill>
        <patternFill patternType="solid">
          <fgColor indexed="64"/>
          <bgColor rgb="FFF9F9F9"/>
        </patternFill>
      </fill>
      <alignment horizontal="center" vertical="center" textRotation="0" wrapText="1" indent="0" justifyLastLine="0" shrinkToFit="0" readingOrder="0"/>
      <border diagonalUp="0" diagonalDown="0" outline="0">
        <left style="medium">
          <color rgb="FFF5F4F3"/>
        </left>
        <right style="medium">
          <color rgb="FFF5F4F3"/>
        </right>
        <top/>
        <bottom style="medium">
          <color rgb="FFF5F4F3"/>
        </bottom>
      </border>
    </dxf>
    <dxf>
      <font>
        <b val="0"/>
        <i val="0"/>
        <strike val="0"/>
        <condense val="0"/>
        <extend val="0"/>
        <outline val="0"/>
        <shadow val="0"/>
        <u val="none"/>
        <vertAlign val="baseline"/>
        <sz val="11"/>
        <color rgb="FF000000"/>
        <name val="Arial"/>
        <scheme val="none"/>
      </font>
      <fill>
        <patternFill patternType="solid">
          <fgColor indexed="64"/>
          <bgColor rgb="FFF9F9F9"/>
        </patternFill>
      </fill>
      <alignment horizontal="left" vertical="center" textRotation="0" wrapText="1" indent="1" justifyLastLine="0" shrinkToFit="0" readingOrder="0"/>
      <border diagonalUp="0" diagonalDown="0" outline="0">
        <left/>
        <right style="medium">
          <color rgb="FFF5F4F3"/>
        </right>
        <top/>
        <bottom style="medium">
          <color rgb="FFF5F4F3"/>
        </bottom>
      </border>
    </dxf>
    <dxf>
      <border diagonalUp="0" diagonalDown="0">
        <left style="thin">
          <color indexed="64"/>
        </left>
        <right style="thin">
          <color indexed="64"/>
        </right>
        <top style="thin">
          <color indexed="64"/>
        </top>
        <bottom style="thin">
          <color indexed="64"/>
        </bottom>
      </border>
    </dxf>
    <dxf>
      <border outline="0">
        <bottom style="medium">
          <color rgb="FFF5F4F3"/>
        </bottom>
      </border>
    </dxf>
    <dxf>
      <font>
        <b/>
        <i val="0"/>
        <strike val="0"/>
        <condense val="0"/>
        <extend val="0"/>
        <outline val="0"/>
        <shadow val="0"/>
        <u val="none"/>
        <vertAlign val="baseline"/>
        <sz val="11"/>
        <color theme="0"/>
        <name val="Arial"/>
        <scheme val="none"/>
      </font>
      <fill>
        <patternFill patternType="solid">
          <fgColor indexed="64"/>
          <bgColor rgb="FFF5F4F3"/>
        </patternFill>
      </fill>
      <alignment horizontal="left" vertical="center" textRotation="0" wrapText="1" indent="1" justifyLastLine="0" shrinkToFit="0" readingOrder="0"/>
      <border diagonalUp="0" diagonalDown="0" outline="0">
        <left style="medium">
          <color rgb="FFF5F4F3"/>
        </left>
        <right style="medium">
          <color rgb="FFF5F4F3"/>
        </right>
        <top/>
        <bottom/>
      </border>
    </dxf>
    <dxf>
      <font>
        <color theme="4" tint="-0.249977111117893"/>
      </font>
    </dxf>
    <dxf>
      <fill>
        <patternFill>
          <bgColor auto="1"/>
        </patternFill>
      </fill>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top style="thin">
          <color indexed="64"/>
        </top>
        <bottom style="thin">
          <color indexed="64"/>
        </bottom>
        <vertical style="thin">
          <color indexed="64"/>
        </vertical>
        <horizontal style="thin">
          <color indexed="64"/>
        </horizontal>
      </border>
    </dxf>
    <dxf>
      <font>
        <b/>
      </font>
    </dxf>
    <dxf>
      <font>
        <b/>
      </font>
    </dxf>
    <dxf>
      <font>
        <b/>
      </font>
    </dxf>
    <dxf>
      <fill>
        <patternFill patternType="solid">
          <bgColor theme="4" tint="-0.249977111117893"/>
        </patternFill>
      </fill>
    </dxf>
    <dxf>
      <fill>
        <patternFill patternType="solid">
          <bgColor theme="4" tint="-0.249977111117893"/>
        </patternFill>
      </fill>
    </dxf>
    <dxf>
      <numFmt numFmtId="14" formatCode="0.00%"/>
    </dxf>
    <dxf>
      <alignment horizontal="center" readingOrder="0"/>
    </dxf>
    <dxf>
      <alignment wrapText="1"/>
    </dxf>
    <dxf>
      <alignment wrapText="1"/>
    </dxf>
    <dxf>
      <numFmt numFmtId="164" formatCode="0.0%"/>
    </dxf>
    <dxf>
      <numFmt numFmtId="164" formatCode="0.0%"/>
    </dxf>
    <dxf>
      <font>
        <b val="0"/>
        <i val="0"/>
        <strike val="0"/>
        <condense val="0"/>
        <extend val="0"/>
        <outline val="0"/>
        <shadow val="0"/>
        <u val="none"/>
        <vertAlign val="baseline"/>
        <sz val="12"/>
        <color theme="1"/>
        <name val="Calibri"/>
        <scheme val="minor"/>
      </font>
      <numFmt numFmtId="14" formatCode="0.00%"/>
      <alignment horizontal="center"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6" tint="0.79998168889431442"/>
        </patternFill>
      </fill>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scheme val="minor"/>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numFmt numFmtId="30" formatCode="@"/>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numFmt numFmtId="1" formatCode="0"/>
      <alignment horizont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F1F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MS" refreshedDate="42411.68334826389" createdVersion="5" refreshedVersion="5" minRefreshableVersion="3" recordCount="3448">
  <cacheSource type="worksheet">
    <worksheetSource ref="C2:N3451" sheet="Discount Percentage by School"/>
  </cacheSource>
  <cacheFields count="12">
    <cacheField name="District Entity Name" numFmtId="0">
      <sharedItems count="67">
        <s v="ALACHUA"/>
        <s v="BAKER"/>
        <s v="BAY"/>
        <s v="BRADFORD"/>
        <s v="BREVARD"/>
        <s v="BROWARD"/>
        <s v="CALHOUN"/>
        <s v="CHARLOTTE"/>
        <s v="CITRUS"/>
        <s v="CLAY"/>
        <s v="COLLIER"/>
        <s v="COLUMBIA"/>
        <s v="Dade"/>
        <s v="DESOTO"/>
        <s v="DIXIE"/>
        <s v="DUVAL"/>
        <s v="ESCAMBIA"/>
        <s v="FLAGLER"/>
        <s v="FRANKLIN"/>
        <s v="GADSDEN"/>
        <s v="GILCHRIST"/>
        <s v="GLADES"/>
        <s v="GULF"/>
        <s v="HAMILTON"/>
        <s v="HARDEE"/>
        <s v="HENDRY"/>
        <s v="HERNANDO"/>
        <s v="HIGHLANDS"/>
        <s v="Hillsborough"/>
        <s v="HOLMES"/>
        <s v="INDIAN RIVER"/>
        <s v="JACKSON"/>
        <s v="JEFFERSON"/>
        <s v="LAFAYETTE"/>
        <s v="LAKE"/>
        <s v="LEE"/>
        <s v="LEON"/>
        <s v="LEVY"/>
        <s v="LIBERTY"/>
        <s v="MADISON"/>
        <s v="MANATEE"/>
        <s v="MARION"/>
        <s v="MARTIN"/>
        <s v="MONROE"/>
        <s v="NASSAU"/>
        <s v="OKALOOSA"/>
        <s v="OKEECHOBEE"/>
        <s v="ORANGE"/>
        <s v="OSCEOLA"/>
        <s v="PALMBEACH"/>
        <s v="PASCO"/>
        <s v="PINELLAS"/>
        <s v="POLK"/>
        <s v="PUTNAM"/>
        <s v="SANTAROSA"/>
        <s v="SARASOTA"/>
        <s v="SEMINOLE"/>
        <s v="ST. JOHNS"/>
        <s v="ST. LUCIE"/>
        <s v="SUMTER"/>
        <s v="SUWANNEE"/>
        <s v="TAYLOR"/>
        <s v="UNION"/>
        <s v="VOLUSIA"/>
        <s v="WAKULLA"/>
        <s v="WALTON"/>
        <s v="WASHINGTON"/>
      </sharedItems>
    </cacheField>
    <cacheField name="District NSLP % (Calculated)" numFmtId="10">
      <sharedItems containsSemiMixedTypes="0" containsString="0" containsNumber="1" minValue="0.2378478459115152" maxValue="1"/>
    </cacheField>
    <cacheField name="School Entity  Number" numFmtId="0">
      <sharedItems containsString="0" containsBlank="1" containsNumber="1" containsInteger="1" minValue="34738" maxValue="160553144"/>
    </cacheField>
    <cacheField name="School Entity Name" numFmtId="0">
      <sharedItems/>
    </cacheField>
    <cacheField name="NCES Code" numFmtId="0">
      <sharedItems containsBlank="1" containsMixedTypes="1" containsNumber="1" containsInteger="1" minValue="1201470" maxValue="120159005346"/>
    </cacheField>
    <cacheField name="Annex Name (DO NOT ENTER DATA IN COLUMNS I-N)" numFmtId="0">
      <sharedItems containsBlank="1"/>
    </cacheField>
    <cacheField name="Students Eligible for Free /Reduced Meals                               (NSLP Count)" numFmtId="0">
      <sharedItems containsString="0" containsBlank="1" containsNumber="1" containsInteger="1" minValue="0" maxValue="2801"/>
    </cacheField>
    <cacheField name="Total Students               Enrolled                              (* indicates a school with &lt;10 students)" numFmtId="0">
      <sharedItems containsBlank="1" containsMixedTypes="1" containsNumber="1" containsInteger="1" minValue="0" maxValue="4606"/>
    </cacheField>
    <cacheField name="CEP Base                          Year" numFmtId="0">
      <sharedItems containsString="0" containsBlank="1" containsNumber="1" containsInteger="1" minValue="2014" maxValue="2015"/>
    </cacheField>
    <cacheField name="Percentage of Directly Certified Students for CEP " numFmtId="0">
      <sharedItems containsString="0" containsBlank="1" containsNumber="1" minValue="0.42820000000000003" maxValue="100"/>
    </cacheField>
    <cacheField name="Total Students in School eligible for NSLP                                 (Calculated)" numFmtId="3">
      <sharedItems containsSemiMixedTypes="0" containsString="0" containsNumber="1" minValue="0" maxValue="2801"/>
    </cacheField>
    <cacheField name="Percent Total NSLP            (Calculated)" numFmtId="10">
      <sharedItems containsMixedTypes="1" containsNumber="1" minValue="0" maxValue="1.85915492957746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48">
  <r>
    <x v="0"/>
    <n v="0.64099779280383984"/>
    <n v="35710"/>
    <s v="A. L. MEBANE MIDDLE SCHOOL"/>
    <m/>
    <m/>
    <m/>
    <n v="383"/>
    <n v="2015"/>
    <n v="0.62509999999999999"/>
    <n v="383"/>
    <n v="1"/>
  </r>
  <r>
    <x v="0"/>
    <n v="0.64099779280383984"/>
    <n v="35664"/>
    <s v="A.QUINN JONES/EXCEP.STUDENT CENTER"/>
    <m/>
    <m/>
    <m/>
    <n v="100"/>
    <n v="2015"/>
    <n v="0.62509999999999999"/>
    <n v="100"/>
    <n v="1"/>
  </r>
  <r>
    <x v="0"/>
    <n v="0.64099779280383984"/>
    <n v="35749"/>
    <s v="ABRAHAM LINCOLN MIDDLE SCHOOL"/>
    <m/>
    <m/>
    <m/>
    <n v="723"/>
    <n v="2015"/>
    <n v="0.62509999999999999"/>
    <n v="723"/>
    <n v="1"/>
  </r>
  <r>
    <x v="0"/>
    <n v="0.64099779280383984"/>
    <n v="16055920"/>
    <s v="ALACHUA ACADEMY"/>
    <m/>
    <m/>
    <m/>
    <n v="15"/>
    <m/>
    <m/>
    <n v="0"/>
    <n v="0"/>
  </r>
  <r>
    <x v="0"/>
    <n v="0.64099779280383984"/>
    <n v="35708"/>
    <s v="ALACHUA ELEMENTARY SCHOOL"/>
    <m/>
    <m/>
    <m/>
    <n v="377"/>
    <n v="2015"/>
    <n v="0.62509999999999999"/>
    <n v="377"/>
    <n v="1"/>
  </r>
  <r>
    <x v="0"/>
    <n v="0.64099779280383984"/>
    <n v="16083437"/>
    <s v="ALACHUA ESCHOOL (VIRTUAL FRANCHISE)"/>
    <m/>
    <m/>
    <n v="13"/>
    <n v="74"/>
    <m/>
    <m/>
    <n v="13"/>
    <n v="0.17567567567567569"/>
  </r>
  <r>
    <x v="0"/>
    <n v="0.64099779280383984"/>
    <n v="176750"/>
    <s v="ALACHUA REGIONAL JUVENILE DETENTION CENTER"/>
    <m/>
    <m/>
    <n v="5"/>
    <n v="43"/>
    <m/>
    <m/>
    <n v="5"/>
    <n v="0.11627906976744186"/>
  </r>
  <r>
    <x v="0"/>
    <n v="0.64099779280383984"/>
    <n v="151518"/>
    <s v="AMIKIDS"/>
    <m/>
    <m/>
    <m/>
    <n v="39"/>
    <n v="2015"/>
    <n v="0.62509999999999999"/>
    <n v="39"/>
    <n v="1"/>
  </r>
  <r>
    <x v="0"/>
    <n v="0.64099779280383984"/>
    <n v="35714"/>
    <s v="ARCHER ELEMENTARY"/>
    <m/>
    <m/>
    <m/>
    <n v="501"/>
    <n v="2015"/>
    <n v="0.62509999999999999"/>
    <n v="501"/>
    <n v="1"/>
  </r>
  <r>
    <x v="0"/>
    <n v="0.64099779280383984"/>
    <n v="16083445"/>
    <s v="BOULWARE SPRINGS"/>
    <m/>
    <m/>
    <m/>
    <n v="144"/>
    <n v="2015"/>
    <n v="0.62509999999999999"/>
    <n v="144"/>
    <n v="1"/>
  </r>
  <r>
    <x v="0"/>
    <n v="0.64099779280383984"/>
    <n v="35675"/>
    <s v="C. W. NORTON ELEMENTARY SCHOOL"/>
    <m/>
    <m/>
    <m/>
    <n v="636"/>
    <n v="2015"/>
    <n v="0.62509999999999999"/>
    <n v="636"/>
    <n v="1"/>
  </r>
  <r>
    <x v="0"/>
    <n v="0.64099779280383984"/>
    <n v="34870"/>
    <s v="CAMP CRYSTAL LAKE"/>
    <m/>
    <m/>
    <m/>
    <n v="0"/>
    <m/>
    <m/>
    <n v="0"/>
    <n v="0"/>
  </r>
  <r>
    <x v="0"/>
    <n v="0.64099779280383984"/>
    <n v="221826"/>
    <s v="CARING &amp; SHARING LEARNING SCHOOL"/>
    <m/>
    <m/>
    <m/>
    <n v="144"/>
    <n v="2015"/>
    <n v="0.62509999999999999"/>
    <n v="144"/>
    <n v="1"/>
  </r>
  <r>
    <x v="0"/>
    <n v="0.64099779280383984"/>
    <n v="35738"/>
    <s v="CHESTER SHELL ELEMENTARY SCHOOL"/>
    <m/>
    <m/>
    <m/>
    <n v="308"/>
    <n v="2015"/>
    <n v="0.62509999999999999"/>
    <n v="308"/>
    <n v="1"/>
  </r>
  <r>
    <x v="0"/>
    <n v="0.64099779280383984"/>
    <n v="35742"/>
    <s v="Duval Early Learning Academy"/>
    <m/>
    <m/>
    <n v="0"/>
    <n v="379"/>
    <n v="2015"/>
    <n v="0.62509999999999999"/>
    <n v="379"/>
    <n v="1"/>
  </r>
  <r>
    <x v="0"/>
    <n v="0.64099779280383984"/>
    <n v="205600"/>
    <s v="E. D. Manning Center"/>
    <m/>
    <m/>
    <n v="0"/>
    <n v="0"/>
    <m/>
    <m/>
    <n v="0"/>
    <n v="0"/>
  </r>
  <r>
    <x v="0"/>
    <n v="0.64099779280383984"/>
    <n v="35748"/>
    <s v="EASTSIDE HIGH SCHOOL"/>
    <m/>
    <m/>
    <n v="682"/>
    <n v="1447"/>
    <m/>
    <m/>
    <n v="682"/>
    <n v="0.47131997235659984"/>
  </r>
  <r>
    <x v="0"/>
    <n v="0.64099779280383984"/>
    <n v="228248"/>
    <s v="EXPRESSIONS LEARNING ARTS ACADEMY"/>
    <m/>
    <m/>
    <n v="15"/>
    <n v="85"/>
    <m/>
    <m/>
    <n v="15"/>
    <n v="0.17647058823529413"/>
  </r>
  <r>
    <x v="0"/>
    <n v="0.64099779280383984"/>
    <n v="35690"/>
    <s v="F. W. BUCHHOLZ HIGH SCHOOL"/>
    <m/>
    <m/>
    <n v="640"/>
    <n v="2252"/>
    <m/>
    <m/>
    <n v="640"/>
    <n v="0.28419182948490229"/>
  </r>
  <r>
    <x v="0"/>
    <n v="0.64099779280383984"/>
    <n v="167496"/>
    <s v="FEARNSIDE FAMILY SERVICES CENTER"/>
    <m/>
    <m/>
    <m/>
    <n v="56"/>
    <n v="2015"/>
    <n v="0.62509999999999999"/>
    <n v="56"/>
    <n v="1"/>
  </r>
  <r>
    <x v="0"/>
    <n v="0.64099779280383984"/>
    <n v="188844"/>
    <s v="Fred Sivia Center"/>
    <m/>
    <m/>
    <n v="0"/>
    <n v="0"/>
    <m/>
    <m/>
    <n v="0"/>
    <n v="0"/>
  </r>
  <r>
    <x v="0"/>
    <n v="0.64099779280383984"/>
    <n v="35685"/>
    <s v="FORT CLARKE MIDDLE SCHOOL"/>
    <m/>
    <m/>
    <n v="373"/>
    <n v="859"/>
    <m/>
    <m/>
    <n v="373"/>
    <n v="0.43422584400465658"/>
  </r>
  <r>
    <x v="0"/>
    <n v="0.64099779280383984"/>
    <n v="35704"/>
    <s v="GAINESVILLE HIGH SCHOOL"/>
    <m/>
    <m/>
    <n v="803"/>
    <n v="1890"/>
    <m/>
    <m/>
    <n v="803"/>
    <n v="0.42486772486772489"/>
  </r>
  <r>
    <x v="0"/>
    <n v="0.64099779280383984"/>
    <n v="228252"/>
    <s v="GENESIS PREPARATORY SCHOOL"/>
    <m/>
    <m/>
    <m/>
    <n v="69"/>
    <n v="2015"/>
    <n v="0.62509999999999999"/>
    <n v="69"/>
    <n v="1"/>
  </r>
  <r>
    <x v="0"/>
    <n v="0.64099779280383984"/>
    <n v="35677"/>
    <s v="GLEN SPRINGS ELEMENTARY SCHOOL"/>
    <m/>
    <m/>
    <n v="221"/>
    <n v="492"/>
    <m/>
    <m/>
    <n v="221"/>
    <n v="0.44918699186991867"/>
  </r>
  <r>
    <x v="0"/>
    <n v="0.64099779280383984"/>
    <n v="35739"/>
    <s v="HAWTHORNE MIDDLE/HIGH SCHOOL"/>
    <m/>
    <m/>
    <m/>
    <n v="291"/>
    <n v="2015"/>
    <n v="0.62509999999999999"/>
    <n v="291"/>
    <n v="1"/>
  </r>
  <r>
    <x v="0"/>
    <n v="0.64099779280383984"/>
    <n v="16083443"/>
    <s v="HEALTHY LEARNING ACADEMY CHARTER SCHOOL"/>
    <m/>
    <m/>
    <n v="17"/>
    <n v="102"/>
    <m/>
    <m/>
    <n v="17"/>
    <n v="0.16666666666666666"/>
  </r>
  <r>
    <x v="0"/>
    <n v="0.64099779280383984"/>
    <n v="35686"/>
    <s v="HIDDEN OAK ELEMENTARY SCHOOL"/>
    <m/>
    <m/>
    <n v="261"/>
    <n v="791"/>
    <m/>
    <m/>
    <n v="261"/>
    <n v="0.32996207332490518"/>
  </r>
  <r>
    <x v="0"/>
    <n v="0.64099779280383984"/>
    <n v="35750"/>
    <s v="HIGH SPRINGS COMMUNITY SCHOOL"/>
    <m/>
    <m/>
    <n v="423"/>
    <n v="893"/>
    <m/>
    <m/>
    <n v="423"/>
    <n v="0.47368421052631576"/>
  </r>
  <r>
    <x v="0"/>
    <n v="0.64099779280383984"/>
    <n v="35743"/>
    <s v="Horizon Center"/>
    <m/>
    <m/>
    <n v="0"/>
    <n v="0"/>
    <m/>
    <m/>
    <n v="0"/>
    <n v="0"/>
  </r>
  <r>
    <x v="0"/>
    <n v="0.64099779280383984"/>
    <n v="17004858"/>
    <s v="HOSPITAL HOMEBOUND"/>
    <m/>
    <m/>
    <n v="5"/>
    <n v="29"/>
    <m/>
    <m/>
    <n v="5"/>
    <n v="0.17241379310344829"/>
  </r>
  <r>
    <x v="0"/>
    <n v="0.64099779280383984"/>
    <n v="35705"/>
    <s v="HOWARD W. BISHOP MIDDLE SCHOOL"/>
    <m/>
    <m/>
    <m/>
    <n v="733"/>
    <n v="2015"/>
    <n v="0.62509999999999999"/>
    <n v="733"/>
    <n v="1"/>
  </r>
  <r>
    <x v="0"/>
    <n v="0.64099779280383984"/>
    <n v="35697"/>
    <s v="IDYLWILD ELEMENTARY SCHOOL"/>
    <m/>
    <m/>
    <m/>
    <n v="744"/>
    <n v="2015"/>
    <n v="0.62509999999999999"/>
    <n v="744"/>
    <n v="1"/>
  </r>
  <r>
    <x v="0"/>
    <n v="0.64099779280383984"/>
    <n v="35673"/>
    <s v="J. J. FINLEY ELEMENTARY SCHOOL"/>
    <m/>
    <m/>
    <n v="342"/>
    <n v="637"/>
    <m/>
    <m/>
    <n v="342"/>
    <n v="0.53689167974882257"/>
  </r>
  <r>
    <x v="0"/>
    <n v="0.64099779280383984"/>
    <n v="35746"/>
    <s v="JOSEPH WILLIAMS ELEMENTARY SCHOOL"/>
    <m/>
    <m/>
    <m/>
    <n v="565"/>
    <n v="2015"/>
    <n v="0.62509999999999999"/>
    <n v="565"/>
    <n v="1"/>
  </r>
  <r>
    <x v="0"/>
    <n v="0.64099779280383984"/>
    <n v="35699"/>
    <s v="KANAPAHA MIDDLE SCHOOL"/>
    <m/>
    <m/>
    <n v="455"/>
    <n v="960"/>
    <m/>
    <m/>
    <n v="455"/>
    <n v="0.47395833333333331"/>
  </r>
  <r>
    <x v="0"/>
    <n v="0.64099779280383984"/>
    <n v="35698"/>
    <s v="KIMBALL WILES ELEMENTARY SCHOOL"/>
    <m/>
    <m/>
    <n v="324"/>
    <n v="807"/>
    <m/>
    <m/>
    <n v="324"/>
    <n v="0.40148698884758366"/>
  </r>
  <r>
    <x v="0"/>
    <n v="0.64099779280383984"/>
    <n v="184652"/>
    <s v="Kirby-Smith Center"/>
    <m/>
    <m/>
    <n v="0"/>
    <n v="0"/>
    <m/>
    <m/>
    <n v="0"/>
    <n v="0"/>
  </r>
  <r>
    <x v="0"/>
    <n v="0.64099779280383984"/>
    <n v="35747"/>
    <s v="LAKE FOREST ELEMENTARY SCHOOL"/>
    <m/>
    <m/>
    <m/>
    <n v="489"/>
    <n v="2015"/>
    <n v="0.62509999999999999"/>
    <n v="489"/>
    <n v="1"/>
  </r>
  <r>
    <x v="0"/>
    <n v="0.64099779280383984"/>
    <n v="206028"/>
    <s v="LAWTON M. CHILES ELEMENTARY SCHOOL"/>
    <m/>
    <m/>
    <n v="283"/>
    <n v="722"/>
    <m/>
    <m/>
    <n v="283"/>
    <n v="0.39196675900277006"/>
  </r>
  <r>
    <x v="0"/>
    <n v="0.64099779280383984"/>
    <n v="35680"/>
    <s v="LITTLEWOOD ELEMENTARY SCHOOL"/>
    <m/>
    <m/>
    <m/>
    <n v="699"/>
    <n v="2015"/>
    <n v="0.62509999999999999"/>
    <n v="699"/>
    <n v="1"/>
  </r>
  <r>
    <x v="0"/>
    <n v="0.64099779280383984"/>
    <n v="35701"/>
    <s v="MARJORIE KINNAN RAWLINGS ELEMENTARY SCHOOL"/>
    <m/>
    <m/>
    <m/>
    <n v="345"/>
    <n v="2015"/>
    <n v="0.62509999999999999"/>
    <n v="345"/>
    <n v="1"/>
  </r>
  <r>
    <x v="0"/>
    <n v="0.64099779280383984"/>
    <n v="16068329"/>
    <s v="MEADOWBROOK ELEMENTARY SCHOOL"/>
    <m/>
    <m/>
    <n v="292"/>
    <n v="815"/>
    <m/>
    <m/>
    <n v="292"/>
    <n v="0.35828220858895704"/>
  </r>
  <r>
    <x v="0"/>
    <n v="0.64099779280383984"/>
    <n v="16073447"/>
    <s v="MICANOPY MIDDLE SCHOOL, INC."/>
    <m/>
    <m/>
    <n v="45"/>
    <n v="61"/>
    <m/>
    <m/>
    <n v="45"/>
    <n v="0.73770491803278693"/>
  </r>
  <r>
    <x v="0"/>
    <n v="0.64099779280383984"/>
    <n v="35691"/>
    <s v="MYRA TERWILLIGER ELEMENTARY SCHOOL"/>
    <m/>
    <m/>
    <m/>
    <n v="714"/>
    <n v="2015"/>
    <n v="0.62509999999999999"/>
    <n v="714"/>
    <n v="1"/>
  </r>
  <r>
    <x v="0"/>
    <n v="0.64099779280383984"/>
    <n v="35765"/>
    <s v="NEWBERRY ELEMENTARY SCHOOL"/>
    <m/>
    <m/>
    <m/>
    <n v="598"/>
    <n v="2015"/>
    <n v="0.62509999999999999"/>
    <n v="598"/>
    <n v="1"/>
  </r>
  <r>
    <x v="0"/>
    <n v="0.64099779280383984"/>
    <n v="35767"/>
    <s v="NEWBERRY HIGH SCHOOL"/>
    <m/>
    <m/>
    <n v="263"/>
    <n v="630"/>
    <m/>
    <m/>
    <n v="263"/>
    <n v="0.41746031746031748"/>
  </r>
  <r>
    <x v="0"/>
    <n v="0.64099779280383984"/>
    <n v="35766"/>
    <s v="OAK VIEW MIDDLE SCHOOL"/>
    <m/>
    <m/>
    <n v="321"/>
    <n v="755"/>
    <m/>
    <m/>
    <n v="321"/>
    <n v="0.42516556291390728"/>
  </r>
  <r>
    <x v="0"/>
    <n v="0.64099779280383984"/>
    <n v="16080243"/>
    <s v="ONE ROOM MIDDLE SCHOOL"/>
    <m/>
    <m/>
    <n v="18"/>
    <n v="35"/>
    <m/>
    <m/>
    <n v="18"/>
    <n v="0.51428571428571423"/>
  </r>
  <r>
    <x v="0"/>
    <n v="0.64099779280383984"/>
    <n v="183148"/>
    <s v="PACE"/>
    <m/>
    <m/>
    <n v="14"/>
    <n v="44"/>
    <m/>
    <m/>
    <n v="14"/>
    <n v="0.31818181818181818"/>
  </r>
  <r>
    <x v="0"/>
    <n v="0.64099779280383984"/>
    <n v="35741"/>
    <s v="Prairie View"/>
    <m/>
    <m/>
    <n v="0"/>
    <n v="0"/>
    <m/>
    <m/>
    <n v="0"/>
    <n v="0"/>
  </r>
  <r>
    <x v="0"/>
    <n v="0.64099779280383984"/>
    <n v="35745"/>
    <s v="PROFESSIONAL ACADEMY MAGNET AT LOFTEN HIGH SCHOOL"/>
    <m/>
    <m/>
    <n v="144"/>
    <n v="251"/>
    <m/>
    <m/>
    <n v="144"/>
    <n v="0.57370517928286857"/>
  </r>
  <r>
    <x v="0"/>
    <n v="0.64099779280383984"/>
    <n v="35711"/>
    <s v="SANTA FE HIGH SCHOOL"/>
    <m/>
    <m/>
    <n v="440"/>
    <n v="1154"/>
    <m/>
    <m/>
    <n v="440"/>
    <n v="0.38128249566724437"/>
  </r>
  <r>
    <x v="0"/>
    <n v="0.64099779280383984"/>
    <n v="235342"/>
    <s v="SIATECH GAINESVILLE"/>
    <m/>
    <m/>
    <n v="25"/>
    <n v="214"/>
    <m/>
    <m/>
    <n v="25"/>
    <n v="0.11682242990654206"/>
  </r>
  <r>
    <x v="0"/>
    <n v="0.64099779280383984"/>
    <n v="35662"/>
    <s v="SIDNEY LANIER CENTER"/>
    <m/>
    <m/>
    <m/>
    <n v="159"/>
    <n v="2015"/>
    <n v="0.62509999999999999"/>
    <n v="159"/>
    <n v="1"/>
  </r>
  <r>
    <x v="0"/>
    <n v="0.64099779280383984"/>
    <n v="35700"/>
    <s v="STEPHEN FOSTER ELEMENTARY SCHOOL"/>
    <m/>
    <m/>
    <m/>
    <n v="537"/>
    <n v="2015"/>
    <n v="0.62509999999999999"/>
    <n v="537"/>
    <n v="1"/>
  </r>
  <r>
    <x v="0"/>
    <n v="0.64099779280383984"/>
    <n v="206079"/>
    <s v="THE EINSTEIN SCHOOL, INC."/>
    <m/>
    <m/>
    <n v="46"/>
    <n v="109"/>
    <m/>
    <m/>
    <n v="46"/>
    <n v="0.42201834862385323"/>
  </r>
  <r>
    <x v="0"/>
    <n v="0.64099779280383984"/>
    <n v="231711"/>
    <s v="THE ONE ROOM SCHOOL HOUSE PROJECT"/>
    <m/>
    <m/>
    <n v="178"/>
    <n v="235"/>
    <m/>
    <m/>
    <n v="178"/>
    <n v="0.75744680851063828"/>
  </r>
  <r>
    <x v="0"/>
    <n v="0.64099779280383984"/>
    <n v="35706"/>
    <s v="W. A. METCALFE ELEMENTARY SCHOOL"/>
    <m/>
    <m/>
    <m/>
    <n v="300"/>
    <n v="2015"/>
    <n v="0.62509999999999999"/>
    <n v="300"/>
    <n v="1"/>
  </r>
  <r>
    <x v="0"/>
    <n v="0.64099779280383984"/>
    <n v="35709"/>
    <s v="W. W. IRBY ELEMENTARY SCHOOL"/>
    <m/>
    <m/>
    <m/>
    <n v="452"/>
    <n v="2015"/>
    <n v="0.62509999999999999"/>
    <n v="452"/>
    <n v="1"/>
  </r>
  <r>
    <x v="0"/>
    <n v="0.64099779280383984"/>
    <n v="35682"/>
    <s v="WESTWOOD MIDDLE SCHOOL"/>
    <m/>
    <m/>
    <m/>
    <n v="940"/>
    <n v="2015"/>
    <n v="0.62509999999999999"/>
    <n v="940"/>
    <n v="1"/>
  </r>
  <r>
    <x v="0"/>
    <n v="0.64099779280383984"/>
    <n v="35754"/>
    <s v="WILLIAM S. TALBOT ELEM SCHOOL"/>
    <m/>
    <m/>
    <n v="223"/>
    <n v="717"/>
    <m/>
    <m/>
    <n v="223"/>
    <n v="0.31101813110181309"/>
  </r>
  <r>
    <x v="1"/>
    <n v="0.72655641671665661"/>
    <n v="34807"/>
    <s v="BAKER COUNTY MIDDLE SCHOOL"/>
    <m/>
    <m/>
    <n v="681"/>
    <n v="1110"/>
    <m/>
    <m/>
    <n v="681"/>
    <n v="0.61351351351351346"/>
  </r>
  <r>
    <x v="1"/>
    <n v="0.72655641671665661"/>
    <n v="34765"/>
    <s v="BAKER COUNTY SENIOR HIGH SCHOOL"/>
    <m/>
    <m/>
    <n v="623"/>
    <n v="1349"/>
    <m/>
    <m/>
    <n v="623"/>
    <n v="0.46182357301704968"/>
  </r>
  <r>
    <x v="1"/>
    <n v="0.72655641671665661"/>
    <n v="34804"/>
    <s v="J FRANKLYN KELLER INTERMEDIATE SCHOOL"/>
    <m/>
    <m/>
    <m/>
    <n v="773"/>
    <n v="2015"/>
    <n v="0.54220000000000002"/>
    <n v="670.59296000000006"/>
    <n v="0.86752000000000007"/>
  </r>
  <r>
    <x v="1"/>
    <n v="0.72655641671665661"/>
    <n v="34806"/>
    <s v="MACCLENNY ELEMENTARY SCHOOL"/>
    <m/>
    <m/>
    <m/>
    <n v="636"/>
    <n v="2015"/>
    <n v="0.53859999999999997"/>
    <n v="548.07935999999995"/>
    <n v="0.86175999999999997"/>
  </r>
  <r>
    <x v="1"/>
    <n v="0.72655641671665661"/>
    <n v="16035672"/>
    <s v="PREK/KINDERGARTEN CENTER"/>
    <m/>
    <m/>
    <m/>
    <n v="539"/>
    <n v="2015"/>
    <n v="0.59929999999999994"/>
    <n v="516.83632"/>
    <n v="0.95887999999999995"/>
  </r>
  <r>
    <x v="1"/>
    <n v="0.72655641671665661"/>
    <n v="34764"/>
    <s v="WESTSIDE ELEMENTARY SCHOOL"/>
    <m/>
    <m/>
    <m/>
    <n v="594"/>
    <n v="2015"/>
    <n v="0.62690000000000001"/>
    <n v="594"/>
    <n v="1"/>
  </r>
  <r>
    <x v="2"/>
    <n v="0.52968230382792048"/>
    <n v="35446"/>
    <s v="A. CRAWFORD MOSLEY HIGH SCHOOL"/>
    <m/>
    <m/>
    <n v="550"/>
    <n v="1721"/>
    <m/>
    <m/>
    <n v="550"/>
    <n v="0.31958163858221966"/>
  </r>
  <r>
    <x v="2"/>
    <n v="0.52968230382792048"/>
    <n v="213057"/>
    <s v="BAY REGIONAL JUVENILE DETENTION CENTER"/>
    <m/>
    <m/>
    <n v="9"/>
    <n v="26"/>
    <m/>
    <m/>
    <n v="9"/>
    <n v="0.34615384615384615"/>
  </r>
  <r>
    <x v="2"/>
    <n v="0.52968230382792048"/>
    <n v="16058456"/>
    <s v="BREAKFAST POINT ACADEMY"/>
    <m/>
    <m/>
    <n v="500"/>
    <n v="1131"/>
    <m/>
    <m/>
    <n v="500"/>
    <n v="0.44208664898320071"/>
  </r>
  <r>
    <x v="2"/>
    <n v="0.52968230382792048"/>
    <n v="16068475"/>
    <s v="C C WASHINGTON ACADEMY"/>
    <m/>
    <m/>
    <m/>
    <n v="103"/>
    <n v="2014"/>
    <n v="0.85340000000000005"/>
    <n v="103"/>
    <n v="1"/>
  </r>
  <r>
    <x v="2"/>
    <n v="0.52968230382792048"/>
    <n v="35404"/>
    <s v="CEDAR GROVE ELEMENTARY SCHOOL"/>
    <m/>
    <m/>
    <m/>
    <n v="480"/>
    <n v="2014"/>
    <n v="0.76870000000000005"/>
    <n v="480"/>
    <n v="1"/>
  </r>
  <r>
    <x v="2"/>
    <n v="0.52968230382792048"/>
    <n v="212747"/>
    <s v="DEANE BOZEMAN SCHOOL"/>
    <m/>
    <m/>
    <n v="711"/>
    <n v="1161"/>
    <m/>
    <m/>
    <n v="711"/>
    <n v="0.61240310077519378"/>
  </r>
  <r>
    <x v="2"/>
    <n v="0.52968230382792048"/>
    <n v="16058458"/>
    <s v="DEER POINT ELEMENTARY SCHOOL"/>
    <m/>
    <m/>
    <n v="315"/>
    <n v="762"/>
    <m/>
    <m/>
    <n v="315"/>
    <n v="0.41338582677165353"/>
  </r>
  <r>
    <x v="2"/>
    <n v="0.52968230382792048"/>
    <n v="35403"/>
    <s v="HILAND PARK ELEMENTARY SCHOOL"/>
    <m/>
    <m/>
    <n v="541"/>
    <n v="811"/>
    <m/>
    <m/>
    <n v="541"/>
    <n v="0.66707768187422933"/>
  </r>
  <r>
    <x v="2"/>
    <n v="0.52968230382792048"/>
    <n v="35406"/>
    <s v="HUTCHISON BEACH ELEMENTARY SCHOOL"/>
    <m/>
    <m/>
    <n v="385"/>
    <n v="571"/>
    <m/>
    <m/>
    <n v="385"/>
    <n v="0.6742556917688266"/>
  </r>
  <r>
    <x v="2"/>
    <n v="0.52968230382792048"/>
    <n v="212746"/>
    <s v="J.R. ARNOLD HIGH SCHOOL"/>
    <m/>
    <m/>
    <n v="607"/>
    <n v="1763"/>
    <m/>
    <m/>
    <n v="607"/>
    <n v="0.34429948950652295"/>
  </r>
  <r>
    <x v="2"/>
    <n v="0.52968230382792048"/>
    <n v="35444"/>
    <s v="LYNN HAVEN ELEMENTARY SCHOOL"/>
    <m/>
    <m/>
    <n v="393"/>
    <n v="779"/>
    <m/>
    <m/>
    <n v="393"/>
    <n v="0.50449293966623876"/>
  </r>
  <r>
    <x v="2"/>
    <n v="0.52968230382792048"/>
    <n v="35399"/>
    <s v="MARGARET K. LEWIS IN MILLVILLE"/>
    <m/>
    <m/>
    <n v="103"/>
    <n v="144"/>
    <m/>
    <m/>
    <n v="103"/>
    <n v="0.71527777777777779"/>
  </r>
  <r>
    <x v="2"/>
    <n v="0.52968230382792048"/>
    <n v="35445"/>
    <s v="MOWAT MIDDLE SCHOOL"/>
    <m/>
    <m/>
    <n v="495"/>
    <n v="999"/>
    <m/>
    <m/>
    <n v="495"/>
    <n v="0.49549549549549549"/>
  </r>
  <r>
    <x v="2"/>
    <n v="0.52968230382792048"/>
    <n v="160952"/>
    <s v="NEW HORIZONS LEARNING CENTER"/>
    <m/>
    <m/>
    <n v="107"/>
    <n v="128"/>
    <m/>
    <m/>
    <n v="107"/>
    <n v="0.8359375"/>
  </r>
  <r>
    <x v="2"/>
    <n v="0.52968230382792048"/>
    <n v="35400"/>
    <s v="NORTHSIDE ELEMENTARY SCHOOL"/>
    <m/>
    <m/>
    <n v="496"/>
    <n v="690"/>
    <m/>
    <m/>
    <n v="496"/>
    <n v="0.71884057971014492"/>
  </r>
  <r>
    <x v="2"/>
    <n v="0.52968230382792048"/>
    <n v="35407"/>
    <s v="PATRONIS ELEMENTARY SCHOOL"/>
    <m/>
    <m/>
    <n v="349"/>
    <n v="886"/>
    <m/>
    <m/>
    <n v="349"/>
    <n v="0.39390519187358919"/>
  </r>
  <r>
    <x v="2"/>
    <n v="0.52968230382792048"/>
    <n v="35408"/>
    <s v="SOUTHPORT ELEMENTARY SCHOOL"/>
    <m/>
    <m/>
    <n v="271"/>
    <n v="420"/>
    <m/>
    <m/>
    <n v="271"/>
    <n v="0.64523809523809528"/>
  </r>
  <r>
    <x v="2"/>
    <n v="0.52968230382792048"/>
    <n v="35409"/>
    <s v="SURFSIDE MIDDLE SCHOOL"/>
    <m/>
    <m/>
    <n v="375"/>
    <n v="768"/>
    <m/>
    <m/>
    <n v="375"/>
    <n v="0.48828125"/>
  </r>
  <r>
    <x v="2"/>
    <n v="0.52968230382792048"/>
    <n v="35401"/>
    <s v="TOM P. HANEY VOCATIONAL TECHNICAL CENTER"/>
    <m/>
    <m/>
    <m/>
    <n v="0"/>
    <m/>
    <m/>
    <n v="0"/>
    <n v="0"/>
  </r>
  <r>
    <x v="2"/>
    <n v="0.52968230382792048"/>
    <n v="35480"/>
    <s v="WALLER ELEMENTARY SCHOOL"/>
    <m/>
    <m/>
    <m/>
    <n v="463"/>
    <n v="2014"/>
    <n v="0.75650000000000006"/>
    <n v="463"/>
    <n v="1"/>
  </r>
  <r>
    <x v="2"/>
    <n v="0.52968230382792048"/>
    <n v="35410"/>
    <s v="WEST BAY ELEMENTARY SCHOOL"/>
    <m/>
    <m/>
    <n v="233"/>
    <n v="327"/>
    <m/>
    <m/>
    <n v="233"/>
    <n v="0.71253822629969421"/>
  </r>
  <r>
    <x v="3"/>
    <n v="1"/>
    <n v="34867"/>
    <s v="BRADFORD HIGH SCHOOL"/>
    <m/>
    <m/>
    <m/>
    <n v="801"/>
    <n v="2015"/>
    <n v="0.63400000000000001"/>
    <n v="801"/>
    <n v="1"/>
  </r>
  <r>
    <x v="3"/>
    <n v="1"/>
    <n v="16047792"/>
    <s v="BRADFORD INTERVENTION CENTER"/>
    <m/>
    <m/>
    <m/>
    <n v="75"/>
    <n v="2015"/>
    <n v="0.79310000000000003"/>
    <n v="75"/>
    <n v="1"/>
  </r>
  <r>
    <x v="3"/>
    <n v="1"/>
    <n v="34866"/>
    <s v="BRADFORD MIDDLE SCHOOL"/>
    <m/>
    <m/>
    <m/>
    <n v="649"/>
    <n v="2015"/>
    <n v="0.63400000000000001"/>
    <n v="649"/>
    <n v="1"/>
  </r>
  <r>
    <x v="3"/>
    <n v="1"/>
    <n v="34865"/>
    <s v="BRADFORD-UNION TECHNICAL CENTER"/>
    <m/>
    <m/>
    <m/>
    <n v="0"/>
    <m/>
    <m/>
    <n v="0"/>
    <n v="0"/>
  </r>
  <r>
    <x v="3"/>
    <n v="1"/>
    <n v="35724"/>
    <s v="BROOKER ELEMENTARY SCHOOL"/>
    <m/>
    <m/>
    <m/>
    <n v="125"/>
    <n v="2015"/>
    <n v="0.63400000000000001"/>
    <n v="125"/>
    <n v="1"/>
  </r>
  <r>
    <x v="3"/>
    <n v="1"/>
    <n v="34793"/>
    <s v="LAWTEY ELEMENTARY SCHOOL"/>
    <m/>
    <m/>
    <m/>
    <n v="235"/>
    <n v="2015"/>
    <n v="0.63400000000000001"/>
    <n v="235"/>
    <n v="1"/>
  </r>
  <r>
    <x v="3"/>
    <n v="1"/>
    <n v="16020459"/>
    <s v="RAINBOW CENTER"/>
    <m/>
    <m/>
    <m/>
    <n v="70"/>
    <n v="2015"/>
    <n v="0.63400000000000001"/>
    <n v="70"/>
    <n v="1"/>
  </r>
  <r>
    <x v="3"/>
    <n v="1"/>
    <n v="34869"/>
    <s v="SOUTHSIDE ELEMENTARY SCHOOL"/>
    <m/>
    <m/>
    <m/>
    <n v="552"/>
    <n v="2015"/>
    <n v="0.63400000000000001"/>
    <n v="552"/>
    <n v="1"/>
  </r>
  <r>
    <x v="3"/>
    <n v="1"/>
    <n v="34863"/>
    <s v="STARKE ELEMENTARY SCHOOL"/>
    <m/>
    <m/>
    <m/>
    <n v="558"/>
    <n v="2015"/>
    <n v="0.63400000000000001"/>
    <n v="558"/>
    <n v="1"/>
  </r>
  <r>
    <x v="4"/>
    <n v="0.51089833179696098"/>
    <n v="35954"/>
    <s v="ANDREW JACKSON MIDDLE SCHOOL"/>
    <m/>
    <m/>
    <n v="346"/>
    <n v="578"/>
    <m/>
    <m/>
    <n v="346"/>
    <n v="0.59861591695501726"/>
  </r>
  <r>
    <x v="4"/>
    <n v="0.51089833179696098"/>
    <n v="35951"/>
    <s v="APOLLO ELEMENTARY SCHOOL"/>
    <m/>
    <m/>
    <n v="604"/>
    <n v="857"/>
    <m/>
    <m/>
    <n v="604"/>
    <n v="0.70478413068844803"/>
  </r>
  <r>
    <x v="4"/>
    <n v="0.51089833179696098"/>
    <n v="35987"/>
    <s v="ASTRONAUT HIGH SCHOOL"/>
    <m/>
    <m/>
    <n v="541"/>
    <n v="1104"/>
    <m/>
    <m/>
    <n v="541"/>
    <n v="0.49003623188405798"/>
  </r>
  <r>
    <x v="4"/>
    <n v="0.51089833179696098"/>
    <n v="36209"/>
    <s v="ATLANTIS ELEMENTARY SCHOOL"/>
    <m/>
    <m/>
    <n v="326"/>
    <n v="582"/>
    <m/>
    <m/>
    <n v="326"/>
    <n v="0.56013745704467355"/>
  </r>
  <r>
    <x v="4"/>
    <n v="0.51089833179696098"/>
    <n v="36242"/>
    <s v="AUDUBON ELEMENTARY SCHOOL"/>
    <m/>
    <m/>
    <n v="320"/>
    <n v="644"/>
    <m/>
    <m/>
    <n v="320"/>
    <n v="0.49689440993788819"/>
  </r>
  <r>
    <x v="4"/>
    <n v="0.51089833179696098"/>
    <n v="205100"/>
    <s v="BAYSIDE HIGH SCHOOL"/>
    <m/>
    <m/>
    <n v="858"/>
    <n v="1687"/>
    <m/>
    <m/>
    <n v="858"/>
    <n v="0.50859513930053346"/>
  </r>
  <r>
    <x v="4"/>
    <n v="0.51089833179696098"/>
    <n v="213075"/>
    <s v="BREVARD COUNTY JAIL COMPLEX"/>
    <m/>
    <m/>
    <m/>
    <s v="*"/>
    <m/>
    <m/>
    <n v="0"/>
    <n v="0"/>
  </r>
  <r>
    <x v="4"/>
    <n v="0.51089833179696098"/>
    <n v="213075"/>
    <s v="BREVARD COUNTY JUVENILE DETENTION CENTER"/>
    <m/>
    <m/>
    <n v="20"/>
    <n v="39"/>
    <m/>
    <m/>
    <n v="20"/>
    <n v="0.51282051282051277"/>
  </r>
  <r>
    <x v="4"/>
    <n v="0.51089833179696098"/>
    <n v="36200"/>
    <s v="CAMBRIDGE ELEMENTARY MAGNET SCHOOL"/>
    <m/>
    <m/>
    <m/>
    <n v="665"/>
    <n v="2014"/>
    <n v="0.7984"/>
    <n v="665"/>
    <n v="1"/>
  </r>
  <r>
    <x v="4"/>
    <n v="0.51089833179696098"/>
    <n v="36197"/>
    <s v="CAPE VIEW ELEMENTARY SCHOOL"/>
    <m/>
    <m/>
    <n v="300"/>
    <n v="426"/>
    <m/>
    <m/>
    <n v="300"/>
    <n v="0.70422535211267601"/>
  </r>
  <r>
    <x v="4"/>
    <n v="0.51089833179696098"/>
    <n v="213072"/>
    <s v="CENTER FOR DRUG FREE LIVING"/>
    <m/>
    <m/>
    <n v="1"/>
    <n v="30"/>
    <m/>
    <m/>
    <n v="1"/>
    <n v="3.3333333333333333E-2"/>
  </r>
  <r>
    <x v="4"/>
    <n v="0.51089833179696098"/>
    <n v="36182"/>
    <s v="CENTRAL MIDDLE SCHOOL"/>
    <m/>
    <m/>
    <n v="607"/>
    <n v="1141"/>
    <m/>
    <m/>
    <n v="607"/>
    <n v="0.53198948290972836"/>
  </r>
  <r>
    <x v="4"/>
    <n v="0.51089833179696098"/>
    <n v="36210"/>
    <s v="CHALLENGER 7 ELEMENTARY SCHOOL"/>
    <m/>
    <m/>
    <n v="329"/>
    <n v="514"/>
    <m/>
    <m/>
    <n v="329"/>
    <n v="0.6400778210116731"/>
  </r>
  <r>
    <x v="4"/>
    <n v="0.51089833179696098"/>
    <n v="36189"/>
    <s v="CHRISTA MCAULIFFE ELEMENTARY SCHOOL"/>
    <m/>
    <m/>
    <n v="570"/>
    <n v="745"/>
    <m/>
    <m/>
    <n v="570"/>
    <n v="0.7651006711409396"/>
  </r>
  <r>
    <x v="4"/>
    <n v="0.51089833179696098"/>
    <n v="36199"/>
    <s v="CLEARLAKE EDUCATIONAL FACILITY"/>
    <m/>
    <m/>
    <m/>
    <n v="0"/>
    <m/>
    <m/>
    <n v="0"/>
    <n v="0"/>
  </r>
  <r>
    <x v="4"/>
    <n v="0.51089833179696098"/>
    <n v="36213"/>
    <s v="COCOA BEACH JUNIOR/SENIOR HIGH SCHOOL"/>
    <m/>
    <m/>
    <n v="315"/>
    <n v="1102"/>
    <m/>
    <m/>
    <n v="315"/>
    <n v="0.28584392014519056"/>
  </r>
  <r>
    <x v="4"/>
    <n v="0.51089833179696098"/>
    <n v="36205"/>
    <s v="COCOA HIGH SCHOOL"/>
    <m/>
    <m/>
    <n v="1097"/>
    <n v="1498"/>
    <m/>
    <m/>
    <n v="1097"/>
    <n v="0.73230974632843793"/>
  </r>
  <r>
    <x v="4"/>
    <n v="0.51089833179696098"/>
    <n v="36196"/>
    <s v="COLUMBIA ELEMENTARY SCHOOL"/>
    <m/>
    <m/>
    <n v="451"/>
    <n v="577"/>
    <m/>
    <m/>
    <n v="451"/>
    <n v="0.78162911611785091"/>
  </r>
  <r>
    <x v="4"/>
    <n v="0.51089833179696098"/>
    <n v="35955"/>
    <s v="COQUINA ELEMENTARY SCHOOL"/>
    <m/>
    <m/>
    <n v="442"/>
    <n v="553"/>
    <m/>
    <m/>
    <n v="442"/>
    <n v="0.79927667269439417"/>
  </r>
  <r>
    <x v="4"/>
    <n v="0.51089833179696098"/>
    <n v="36218"/>
    <s v="CROTON ELEMENTARY SCHOOL"/>
    <m/>
    <m/>
    <n v="451"/>
    <n v="665"/>
    <m/>
    <m/>
    <n v="451"/>
    <n v="0.67819548872180446"/>
  </r>
  <r>
    <x v="4"/>
    <n v="0.51089833179696098"/>
    <n v="36229"/>
    <s v="DELAURA MIDDLE SCHOOL"/>
    <m/>
    <m/>
    <n v="175"/>
    <n v="686"/>
    <m/>
    <m/>
    <n v="175"/>
    <n v="0.25510204081632654"/>
  </r>
  <r>
    <x v="4"/>
    <n v="0.51089833179696098"/>
    <n v="36192"/>
    <s v="DISCOVERY ELEMENTARY SCHOOL"/>
    <m/>
    <m/>
    <n v="481"/>
    <n v="634"/>
    <m/>
    <m/>
    <n v="481"/>
    <n v="0.75867507886435326"/>
  </r>
  <r>
    <x v="4"/>
    <n v="0.51089833179696098"/>
    <n v="36223"/>
    <s v="DR. W.J. CREEL ELEMENTARY SCHOOL"/>
    <m/>
    <m/>
    <n v="642"/>
    <n v="931"/>
    <m/>
    <m/>
    <n v="642"/>
    <n v="0.68958109559613323"/>
  </r>
  <r>
    <x v="4"/>
    <n v="0.51089833179696098"/>
    <n v="36220"/>
    <s v="EAU GALLIE HIGH SCHOOL"/>
    <m/>
    <m/>
    <n v="762"/>
    <n v="1711"/>
    <m/>
    <m/>
    <n v="762"/>
    <n v="0.44535359438924604"/>
  </r>
  <r>
    <x v="4"/>
    <n v="0.51089833179696098"/>
    <n v="36245"/>
    <s v="EDGEWOOD JR/SR HIGH SCHOOL"/>
    <m/>
    <m/>
    <n v="119"/>
    <n v="949"/>
    <m/>
    <m/>
    <n v="119"/>
    <n v="0.12539515279241306"/>
  </r>
  <r>
    <x v="4"/>
    <n v="0.51089833179696098"/>
    <n v="36198"/>
    <s v="ENDEAVOUR ELEMENTARY MAGNET"/>
    <m/>
    <m/>
    <m/>
    <n v="837"/>
    <n v="2014"/>
    <n v="0.81659999999999999"/>
    <n v="837"/>
    <n v="1"/>
  </r>
  <r>
    <x v="4"/>
    <n v="0.51089833179696098"/>
    <n v="36207"/>
    <s v="ENTERPRISE ELEMENTARY SCHOOL"/>
    <m/>
    <m/>
    <n v="266"/>
    <n v="539"/>
    <m/>
    <m/>
    <n v="266"/>
    <n v="0.4935064935064935"/>
  </r>
  <r>
    <x v="4"/>
    <n v="0.51089833179696098"/>
    <n v="213073"/>
    <s v="ESE INFANTS AND TODDLERS"/>
    <m/>
    <m/>
    <n v="10"/>
    <n v="255"/>
    <m/>
    <m/>
    <n v="10"/>
    <n v="3.9215686274509803E-2"/>
  </r>
  <r>
    <x v="4"/>
    <n v="0.51089833179696098"/>
    <n v="36208"/>
    <s v="FAIRGLEN ELEMENTARY SCHOOL"/>
    <m/>
    <m/>
    <m/>
    <n v="691"/>
    <n v="2014"/>
    <n v="0.65450000000000008"/>
    <n v="691"/>
    <n v="1"/>
  </r>
  <r>
    <x v="4"/>
    <n v="0.51089833179696098"/>
    <n v="213076"/>
    <s v="FRANCES WALKER HALFWAY HOUSE"/>
    <m/>
    <m/>
    <n v="1"/>
    <n v="18"/>
    <m/>
    <m/>
    <n v="1"/>
    <n v="5.5555555555555552E-2"/>
  </r>
  <r>
    <x v="4"/>
    <n v="0.51089833179696098"/>
    <n v="219352"/>
    <s v="FREEDOM 7 ELEMENTARY SCHOOL OF INTERNATIONAL STUDIES"/>
    <m/>
    <m/>
    <n v="45"/>
    <n v="413"/>
    <m/>
    <m/>
    <n v="45"/>
    <n v="0.10895883777239709"/>
  </r>
  <r>
    <x v="4"/>
    <n v="0.51089833179696098"/>
    <n v="36238"/>
    <s v="GEMINI ELEMENTARY SCHOOL"/>
    <m/>
    <m/>
    <n v="93"/>
    <n v="483"/>
    <m/>
    <m/>
    <n v="93"/>
    <n v="0.19254658385093168"/>
  </r>
  <r>
    <x v="4"/>
    <n v="0.51089833179696098"/>
    <n v="36253"/>
    <s v="GOLFVIEW ELEMENTARY MAGNET SCH"/>
    <m/>
    <m/>
    <m/>
    <n v="647"/>
    <n v="2014"/>
    <n v="0.64659999999999995"/>
    <n v="647"/>
    <n v="1"/>
  </r>
  <r>
    <x v="4"/>
    <n v="0.51089833179696098"/>
    <n v="36257"/>
    <s v="HANS CHRISTIAN ANDERSEN ELEMENTARY"/>
    <m/>
    <m/>
    <n v="352"/>
    <n v="705"/>
    <m/>
    <m/>
    <n v="352"/>
    <n v="0.49929078014184397"/>
  </r>
  <r>
    <x v="4"/>
    <n v="0.51089833179696098"/>
    <n v="36221"/>
    <s v="HARBOR CITY ELEMENTARY SCHOOL"/>
    <m/>
    <m/>
    <n v="352"/>
    <n v="434"/>
    <m/>
    <m/>
    <n v="352"/>
    <n v="0.81105990783410142"/>
  </r>
  <r>
    <x v="4"/>
    <n v="0.51089833179696098"/>
    <n v="36175"/>
    <s v="HERBERT C. HOOVER MIDDLE SCHOOL"/>
    <m/>
    <m/>
    <n v="171"/>
    <n v="507"/>
    <m/>
    <m/>
    <n v="171"/>
    <n v="0.33727810650887574"/>
  </r>
  <r>
    <x v="4"/>
    <n v="0.51089833179696098"/>
    <n v="16049289"/>
    <s v="HERITAGE HIGH SCHOOL"/>
    <m/>
    <m/>
    <n v="1140"/>
    <n v="1852"/>
    <m/>
    <m/>
    <n v="1140"/>
    <n v="0.6155507559395248"/>
  </r>
  <r>
    <x v="4"/>
    <n v="0.51089833179696098"/>
    <n v="35956"/>
    <s v="IMPERIAL ESTATES ELEMENTARY SCHOOL"/>
    <m/>
    <m/>
    <n v="373"/>
    <n v="650"/>
    <m/>
    <m/>
    <n v="373"/>
    <n v="0.57384615384615389"/>
  </r>
  <r>
    <x v="4"/>
    <n v="0.51089833179696098"/>
    <n v="36176"/>
    <s v="INDIALANTIC ELEMENTARY SCHOOL"/>
    <m/>
    <m/>
    <n v="177"/>
    <n v="753"/>
    <m/>
    <m/>
    <n v="177"/>
    <n v="0.23505976095617531"/>
  </r>
  <r>
    <x v="4"/>
    <n v="0.51089833179696098"/>
    <n v="35984"/>
    <s v="JAMES MADISON MIDDLE SCHOOL"/>
    <m/>
    <m/>
    <n v="299"/>
    <n v="439"/>
    <m/>
    <m/>
    <n v="299"/>
    <n v="0.68109339407744873"/>
  </r>
  <r>
    <x v="4"/>
    <n v="0.51089833179696098"/>
    <n v="36256"/>
    <s v="JOHN F. KENNEDY MIDDLE SCHOOL"/>
    <m/>
    <m/>
    <n v="232"/>
    <n v="608"/>
    <m/>
    <m/>
    <n v="232"/>
    <n v="0.38157894736842107"/>
  </r>
  <r>
    <x v="4"/>
    <n v="0.51089833179696098"/>
    <n v="36195"/>
    <s v="JOHN F. TURNER, SENIOR ELEMENTARY"/>
    <m/>
    <m/>
    <n v="555"/>
    <n v="689"/>
    <m/>
    <m/>
    <n v="555"/>
    <n v="0.80551523947750359"/>
  </r>
  <r>
    <x v="4"/>
    <n v="0.51089833179696098"/>
    <n v="36193"/>
    <s v="JUPITER ELEMENTARY SCHOOL"/>
    <m/>
    <m/>
    <n v="639"/>
    <n v="810"/>
    <m/>
    <m/>
    <n v="639"/>
    <n v="0.78888888888888886"/>
  </r>
  <r>
    <x v="4"/>
    <n v="0.51089833179696098"/>
    <n v="36243"/>
    <s v="LEWIS CARROLL ELEMENTARY SCHOOL"/>
    <m/>
    <m/>
    <n v="219"/>
    <n v="637"/>
    <m/>
    <m/>
    <n v="219"/>
    <n v="0.34379905808477235"/>
  </r>
  <r>
    <x v="4"/>
    <n v="0.51089833179696098"/>
    <n v="36187"/>
    <s v="LOCKMAR ELEMENTARY SCHOOL"/>
    <m/>
    <m/>
    <n v="396"/>
    <n v="721"/>
    <m/>
    <m/>
    <n v="396"/>
    <n v="0.54923717059639388"/>
  </r>
  <r>
    <x v="4"/>
    <n v="0.51089833179696098"/>
    <n v="167712"/>
    <s v="LONGLEAF ELEMENTARY SCHOOL"/>
    <m/>
    <m/>
    <n v="155"/>
    <n v="631"/>
    <m/>
    <m/>
    <n v="155"/>
    <n v="0.24564183835182252"/>
  </r>
  <r>
    <x v="4"/>
    <n v="0.51089833179696098"/>
    <n v="36219"/>
    <s v="LYNDON B. JOHNSON MIDDLE SCHOOL"/>
    <m/>
    <m/>
    <n v="424"/>
    <n v="785"/>
    <m/>
    <m/>
    <n v="424"/>
    <n v="0.54012738853503184"/>
  </r>
  <r>
    <x v="4"/>
    <n v="0.51089833179696098"/>
    <n v="235509"/>
    <s v="MANATEE ELEMENTARY"/>
    <m/>
    <m/>
    <n v="106"/>
    <n v="846"/>
    <m/>
    <m/>
    <n v="106"/>
    <n v="0.12529550827423167"/>
  </r>
  <r>
    <x v="4"/>
    <n v="0.51089833179696098"/>
    <n v="16043163"/>
    <s v="MEADOWLANE INTERMEDIATE ELEMENTARY SCHOOL"/>
    <m/>
    <m/>
    <n v="417"/>
    <n v="1001"/>
    <m/>
    <m/>
    <n v="417"/>
    <n v="0.41658341658341658"/>
  </r>
  <r>
    <x v="4"/>
    <n v="0.51089833179696098"/>
    <n v="36180"/>
    <s v="MEADOWLANE PRIMARY ELEMENTARY SCHOOL"/>
    <m/>
    <m/>
    <n v="322"/>
    <n v="742"/>
    <m/>
    <m/>
    <n v="322"/>
    <n v="0.43396226415094341"/>
  </r>
  <r>
    <x v="4"/>
    <n v="0.51089833179696098"/>
    <n v="36163"/>
    <s v="MELBOURNE SENIOR HIGH SCHOOL"/>
    <m/>
    <m/>
    <n v="668"/>
    <n v="2226"/>
    <m/>
    <m/>
    <n v="668"/>
    <n v="0.30008984725965859"/>
  </r>
  <r>
    <x v="4"/>
    <n v="0.51089833179696098"/>
    <n v="36244"/>
    <s v="MERRITT ISLAND HIGH SCHOOL"/>
    <m/>
    <m/>
    <n v="479"/>
    <n v="1543"/>
    <m/>
    <m/>
    <n v="479"/>
    <n v="0.31043421905379132"/>
  </r>
  <r>
    <x v="4"/>
    <n v="0.51089833179696098"/>
    <n v="36250"/>
    <s v="MILA ELEMENTARY SCHOOL"/>
    <m/>
    <m/>
    <n v="355"/>
    <n v="495"/>
    <m/>
    <m/>
    <n v="355"/>
    <n v="0.71717171717171713"/>
  </r>
  <r>
    <x v="4"/>
    <n v="0.51089833179696098"/>
    <n v="35893"/>
    <s v="MIMS ELEMENTARY SCHOOL"/>
    <m/>
    <m/>
    <n v="404"/>
    <n v="517"/>
    <m/>
    <m/>
    <n v="404"/>
    <n v="0.78143133462282399"/>
  </r>
  <r>
    <x v="4"/>
    <n v="0.51089833179696098"/>
    <n v="227017"/>
    <s v="NORTH/CENTRAL AREA ALTERNATIVE LEARNING CENTER"/>
    <m/>
    <m/>
    <n v="32"/>
    <n v="44"/>
    <m/>
    <m/>
    <n v="32"/>
    <n v="0.72727272727272729"/>
  </r>
  <r>
    <x v="4"/>
    <n v="0.51089833179696098"/>
    <n v="35985"/>
    <s v="OAK PARK ELEMENTARY SCHOOL"/>
    <m/>
    <m/>
    <n v="589"/>
    <n v="856"/>
    <m/>
    <m/>
    <n v="589"/>
    <n v="0.68808411214953269"/>
  </r>
  <r>
    <x v="4"/>
    <n v="0.51089833179696098"/>
    <n v="36233"/>
    <s v="OCEAN BREEZE ELEMENTARY SCHOOL"/>
    <m/>
    <m/>
    <n v="192"/>
    <n v="532"/>
    <m/>
    <m/>
    <n v="192"/>
    <n v="0.36090225563909772"/>
  </r>
  <r>
    <x v="4"/>
    <n v="0.51089833179696098"/>
    <n v="228258"/>
    <s v="OUTWARD BOUND"/>
    <m/>
    <m/>
    <n v="1"/>
    <n v="11"/>
    <m/>
    <m/>
    <n v="1"/>
    <n v="9.0909090909090912E-2"/>
  </r>
  <r>
    <x v="4"/>
    <n v="0.51089833179696098"/>
    <n v="36184"/>
    <s v="PALM BAY ELEMENTARY SCHOOL"/>
    <m/>
    <m/>
    <n v="695"/>
    <n v="815"/>
    <m/>
    <m/>
    <n v="695"/>
    <n v="0.85276073619631898"/>
  </r>
  <r>
    <x v="4"/>
    <n v="0.51089833179696098"/>
    <n v="36173"/>
    <s v="PALM BAY MAGNET SENIOR HIGH SCHOOL"/>
    <m/>
    <m/>
    <n v="950"/>
    <n v="1570"/>
    <m/>
    <m/>
    <n v="950"/>
    <n v="0.60509554140127386"/>
  </r>
  <r>
    <x v="4"/>
    <n v="0.51089833179696098"/>
    <n v="35895"/>
    <s v="PINEWOOD ELEMENTARY SCHOOL"/>
    <m/>
    <m/>
    <n v="304"/>
    <n v="479"/>
    <m/>
    <m/>
    <n v="304"/>
    <n v="0.63465553235908145"/>
  </r>
  <r>
    <x v="4"/>
    <n v="0.51089833179696098"/>
    <n v="36190"/>
    <s v="PORT MALABAR ELEMENTARY SCHOOL"/>
    <m/>
    <m/>
    <n v="550"/>
    <n v="761"/>
    <m/>
    <m/>
    <n v="550"/>
    <n v="0.72273324572930353"/>
  </r>
  <r>
    <x v="4"/>
    <n v="0.51089833179696098"/>
    <n v="16028305"/>
    <s v="QUEST ELEMENTARY SCHOOL"/>
    <m/>
    <m/>
    <n v="166"/>
    <n v="848"/>
    <m/>
    <m/>
    <n v="166"/>
    <n v="0.19575471698113209"/>
  </r>
  <r>
    <x v="4"/>
    <n v="0.51089833179696098"/>
    <n v="211091"/>
    <s v="RALPH M WILLIAMS JUNIOR ELEMENTARY"/>
    <m/>
    <m/>
    <n v="184"/>
    <n v="559"/>
    <m/>
    <m/>
    <n v="184"/>
    <n v="0.3291592128801431"/>
  </r>
  <r>
    <x v="4"/>
    <n v="0.51089833179696098"/>
    <n v="35952"/>
    <s v="RIVERVIEW SCHOOL"/>
    <m/>
    <m/>
    <m/>
    <n v="132"/>
    <n v="2014"/>
    <n v="0.92310000000000003"/>
    <n v="132"/>
    <n v="1"/>
  </r>
  <r>
    <x v="4"/>
    <n v="0.51089833179696098"/>
    <n v="36186"/>
    <s v="RIVIERA ELEMENTARY SCHOOL"/>
    <m/>
    <m/>
    <n v="551"/>
    <n v="689"/>
    <m/>
    <m/>
    <n v="551"/>
    <n v="0.79970972423802611"/>
  </r>
  <r>
    <x v="4"/>
    <n v="0.51089833179696098"/>
    <n v="164382"/>
    <s v="ROBERT L. STEVENSON ELEMENTARY"/>
    <m/>
    <m/>
    <n v="97"/>
    <n v="489"/>
    <m/>
    <m/>
    <n v="97"/>
    <n v="0.19836400817995911"/>
  </r>
  <r>
    <x v="4"/>
    <n v="0.51089833179696098"/>
    <n v="36252"/>
    <s v="ROCKLEDGE SENIOR HIGH SCHOOL"/>
    <m/>
    <m/>
    <n v="591"/>
    <n v="1447"/>
    <m/>
    <m/>
    <n v="591"/>
    <n v="0.40843123704215617"/>
  </r>
  <r>
    <x v="4"/>
    <n v="0.51089833179696098"/>
    <n v="36201"/>
    <s v="RONALD MCNAIR MAGNET MIDDLE"/>
    <m/>
    <m/>
    <n v="231"/>
    <n v="472"/>
    <m/>
    <m/>
    <n v="231"/>
    <n v="0.48940677966101692"/>
  </r>
  <r>
    <x v="4"/>
    <n v="0.51089833179696098"/>
    <n v="36227"/>
    <s v="ROY ALLEN ELEMENTARY SCHOOL"/>
    <m/>
    <m/>
    <n v="394"/>
    <n v="606"/>
    <m/>
    <m/>
    <n v="394"/>
    <n v="0.65016501650165015"/>
  </r>
  <r>
    <x v="4"/>
    <n v="0.51089833179696098"/>
    <n v="36225"/>
    <s v="SABAL ELEMENTARY SCHOOL"/>
    <m/>
    <m/>
    <n v="381"/>
    <n v="565"/>
    <m/>
    <m/>
    <n v="381"/>
    <n v="0.67433628318584071"/>
  </r>
  <r>
    <x v="4"/>
    <n v="0.51089833179696098"/>
    <n v="36231"/>
    <s v="SATELLITE SENIOR HIGH SCHOOL"/>
    <m/>
    <m/>
    <n v="263"/>
    <n v="1343"/>
    <m/>
    <m/>
    <n v="263"/>
    <n v="0.19583023082650783"/>
  </r>
  <r>
    <x v="4"/>
    <n v="0.51089833179696098"/>
    <n v="36204"/>
    <s v="SATURN ELEMENTARY SCHOOL"/>
    <m/>
    <m/>
    <m/>
    <n v="786"/>
    <n v="2014"/>
    <n v="0.73109999999999997"/>
    <n v="786"/>
    <n v="1"/>
  </r>
  <r>
    <x v="4"/>
    <n v="0.51089833179696098"/>
    <n v="36228"/>
    <s v="SEA PARK ELEMENTARY SCHOOL"/>
    <m/>
    <m/>
    <n v="105"/>
    <n v="330"/>
    <m/>
    <m/>
    <n v="105"/>
    <n v="0.31818181818181818"/>
  </r>
  <r>
    <x v="4"/>
    <n v="0.51089833179696098"/>
    <n v="36224"/>
    <s v="SHERWOOD ELEMENTARY SCHOOL"/>
    <m/>
    <m/>
    <n v="297"/>
    <n v="518"/>
    <m/>
    <m/>
    <n v="297"/>
    <n v="0.57335907335907332"/>
  </r>
  <r>
    <x v="4"/>
    <n v="0.51089833179696098"/>
    <n v="228257"/>
    <s v="SOUTH AREA ALTERNATIVE LEARNING CENTER"/>
    <m/>
    <m/>
    <n v="32"/>
    <n v="44"/>
    <m/>
    <m/>
    <n v="32"/>
    <n v="0.72727272727272729"/>
  </r>
  <r>
    <x v="4"/>
    <n v="0.51089833179696098"/>
    <n v="16058470"/>
    <s v="SOUTH AREA HEAD START"/>
    <m/>
    <m/>
    <m/>
    <n v="32"/>
    <n v="2014"/>
    <n v="1"/>
    <n v="32"/>
    <n v="1"/>
  </r>
  <r>
    <x v="4"/>
    <n v="0.51089833179696098"/>
    <n v="36194"/>
    <s v="SOUTHWEST MIDDLE SCHOOL"/>
    <m/>
    <m/>
    <n v="579"/>
    <n v="881"/>
    <m/>
    <m/>
    <n v="579"/>
    <n v="0.65720771850170256"/>
  </r>
  <r>
    <x v="4"/>
    <n v="0.51089833179696098"/>
    <n v="36211"/>
    <s v="SPACE COAST JUNIOR/SENIOR HIGH SCHOOL"/>
    <m/>
    <m/>
    <n v="631"/>
    <n v="1474"/>
    <m/>
    <m/>
    <n v="631"/>
    <n v="0.42808683853459972"/>
  </r>
  <r>
    <x v="4"/>
    <n v="0.51089833179696098"/>
    <n v="36230"/>
    <s v="SPESSARD L. HOLLAND ELEMENTARY SCHOOL"/>
    <m/>
    <m/>
    <n v="117"/>
    <n v="432"/>
    <m/>
    <m/>
    <n v="117"/>
    <n v="0.27083333333333331"/>
  </r>
  <r>
    <x v="4"/>
    <n v="0.51089833179696098"/>
    <n v="36170"/>
    <s v="STONE MAGNET MIDDLE SCHOOL"/>
    <m/>
    <m/>
    <n v="588"/>
    <n v="836"/>
    <m/>
    <m/>
    <n v="588"/>
    <n v="0.70334928229665072"/>
  </r>
  <r>
    <x v="4"/>
    <n v="0.51089833179696098"/>
    <n v="16037799"/>
    <s v="SUNRISE ELEMENTARY SCHOOL"/>
    <m/>
    <m/>
    <n v="536"/>
    <n v="843"/>
    <m/>
    <m/>
    <n v="536"/>
    <n v="0.63582443653618026"/>
  </r>
  <r>
    <x v="4"/>
    <n v="0.51089833179696098"/>
    <n v="36235"/>
    <s v="SUNTREE ELEMENTARY SCHOOL"/>
    <m/>
    <m/>
    <n v="149"/>
    <n v="649"/>
    <m/>
    <m/>
    <n v="149"/>
    <n v="0.2295839753466872"/>
  </r>
  <r>
    <x v="4"/>
    <n v="0.51089833179696098"/>
    <n v="36232"/>
    <s v="SURFSIDE ELEMENTARY SCHOOL"/>
    <m/>
    <m/>
    <n v="99"/>
    <n v="449"/>
    <m/>
    <m/>
    <n v="99"/>
    <n v="0.22048997772828507"/>
  </r>
  <r>
    <x v="4"/>
    <n v="0.51089833179696098"/>
    <n v="36212"/>
    <s v="THEODORE ROOSEVELT ELEMENTARY"/>
    <m/>
    <m/>
    <n v="153"/>
    <n v="375"/>
    <m/>
    <m/>
    <n v="153"/>
    <n v="0.40799999999999997"/>
  </r>
  <r>
    <x v="4"/>
    <n v="0.51089833179696098"/>
    <n v="36239"/>
    <s v="THOMAS JEFFERSON MIDDLE SCHOOL"/>
    <m/>
    <m/>
    <n v="264"/>
    <n v="615"/>
    <m/>
    <m/>
    <n v="264"/>
    <n v="0.42926829268292682"/>
  </r>
  <r>
    <x v="4"/>
    <n v="0.51089833179696098"/>
    <n v="35949"/>
    <s v="TITUSVILLE HIGH SCHOOL"/>
    <m/>
    <m/>
    <n v="636"/>
    <n v="1392"/>
    <m/>
    <m/>
    <n v="636"/>
    <n v="0.45689655172413796"/>
  </r>
  <r>
    <x v="4"/>
    <n v="0.51089833179696098"/>
    <n v="36241"/>
    <s v="TROPICAL ELEMENTARY SCHOOL"/>
    <m/>
    <m/>
    <n v="358"/>
    <n v="767"/>
    <m/>
    <m/>
    <n v="358"/>
    <n v="0.46675358539765321"/>
  </r>
  <r>
    <x v="4"/>
    <n v="0.51089833179696098"/>
    <n v="36169"/>
    <s v="UNIVERSITY PARK ELEMENTARY SCHOOL"/>
    <m/>
    <m/>
    <n v="535"/>
    <n v="616"/>
    <m/>
    <m/>
    <n v="535"/>
    <n v="0.86850649350649356"/>
  </r>
  <r>
    <x v="4"/>
    <n v="0.51089833179696098"/>
    <n v="16034565"/>
    <s v="VIERA HIGH SCHOOL"/>
    <m/>
    <m/>
    <n v="294"/>
    <n v="2002"/>
    <m/>
    <m/>
    <n v="294"/>
    <n v="0.14685314685314685"/>
  </r>
  <r>
    <x v="4"/>
    <n v="0.51089833179696098"/>
    <n v="219354"/>
    <s v="W. MELBOURNE ELEMENTARY SCHOOL FOR SCIENCE"/>
    <m/>
    <m/>
    <n v="89"/>
    <n v="550"/>
    <m/>
    <m/>
    <n v="89"/>
    <n v="0.16181818181818181"/>
  </r>
  <r>
    <x v="4"/>
    <n v="0.51089833179696098"/>
    <n v="183451"/>
    <s v="WESTSHORE JUNIOR/SENIOR HIGH SCHOOL"/>
    <m/>
    <m/>
    <n v="102"/>
    <n v="957"/>
    <m/>
    <m/>
    <n v="102"/>
    <n v="0.10658307210031348"/>
  </r>
  <r>
    <x v="4"/>
    <n v="0.51089833179696098"/>
    <n v="167578"/>
    <s v="WESTSIDE ELEMENTARY SCHOOL"/>
    <m/>
    <m/>
    <n v="430"/>
    <n v="700"/>
    <m/>
    <m/>
    <n v="430"/>
    <n v="0.61428571428571432"/>
  </r>
  <r>
    <x v="5"/>
    <n v="0.63185358674778802"/>
    <n v="36398"/>
    <s v="ANNABEL C. PERRY ELEMENTARY"/>
    <m/>
    <m/>
    <n v="770"/>
    <n v="838"/>
    <m/>
    <m/>
    <n v="770"/>
    <n v="0.91885441527446299"/>
  </r>
  <r>
    <x v="5"/>
    <n v="0.63185358674778802"/>
    <n v="36415"/>
    <s v="APOLLO MIDDLE SCHOOL"/>
    <m/>
    <m/>
    <n v="993"/>
    <n v="1247"/>
    <m/>
    <m/>
    <n v="993"/>
    <n v="0.79631114675220527"/>
  </r>
  <r>
    <x v="5"/>
    <n v="0.63185358674778802"/>
    <n v="232466"/>
    <s v="ATLANTIC TECHNICAL COLLEGE"/>
    <m/>
    <m/>
    <n v="369"/>
    <n v="649"/>
    <m/>
    <m/>
    <n v="369"/>
    <n v="0.56856702619414479"/>
  </r>
  <r>
    <x v="5"/>
    <n v="0.63185358674778802"/>
    <n v="36548"/>
    <s v="ATLANTIC WEST ELEMENTARY SCHOOL"/>
    <m/>
    <m/>
    <n v="577"/>
    <n v="682"/>
    <m/>
    <m/>
    <n v="577"/>
    <n v="0.8460410557184751"/>
  </r>
  <r>
    <x v="5"/>
    <n v="0.63185358674778802"/>
    <n v="36356"/>
    <s v="ATTUCKS MIDDLE SCHOOL"/>
    <m/>
    <m/>
    <n v="565"/>
    <n v="640"/>
    <m/>
    <m/>
    <n v="565"/>
    <n v="0.8828125"/>
  </r>
  <r>
    <x v="5"/>
    <n v="0.63185358674778802"/>
    <n v="37201"/>
    <s v="BAIR MIDDLE SCHOOL"/>
    <m/>
    <m/>
    <n v="688"/>
    <n v="883"/>
    <m/>
    <m/>
    <n v="688"/>
    <n v="0.77916194790486981"/>
  </r>
  <r>
    <x v="5"/>
    <n v="0.63185358674778802"/>
    <n v="37251"/>
    <s v="BANYAN ELEMENTARY SCHOOL"/>
    <m/>
    <m/>
    <n v="558"/>
    <n v="686"/>
    <m/>
    <m/>
    <n v="558"/>
    <n v="0.8134110787172012"/>
  </r>
  <r>
    <x v="5"/>
    <n v="0.63185358674778802"/>
    <n v="37083"/>
    <s v="BAYVIEW ELEMENTARY SCHOOL"/>
    <m/>
    <m/>
    <n v="140"/>
    <n v="635"/>
    <m/>
    <m/>
    <n v="140"/>
    <n v="0.22047244094488189"/>
  </r>
  <r>
    <x v="5"/>
    <n v="0.63185358674778802"/>
    <n v="16052333"/>
    <s v="BEACHSIDE MONTESSORI VILLAGE"/>
    <m/>
    <m/>
    <n v="197"/>
    <n v="767"/>
    <m/>
    <m/>
    <n v="197"/>
    <n v="0.25684485006518903"/>
  </r>
  <r>
    <x v="5"/>
    <n v="0.63185358674778802"/>
    <n v="224986"/>
    <s v="BECON"/>
    <m/>
    <m/>
    <m/>
    <s v="0"/>
    <m/>
    <m/>
    <n v="0"/>
    <n v="0"/>
  </r>
  <r>
    <x v="5"/>
    <n v="0.63185358674778802"/>
    <n v="37085"/>
    <s v="BENNETT ELEMENTARY SCHOOL"/>
    <m/>
    <m/>
    <n v="419"/>
    <n v="485"/>
    <m/>
    <m/>
    <n v="419"/>
    <n v="0.86391752577319592"/>
  </r>
  <r>
    <x v="5"/>
    <n v="0.63185358674778802"/>
    <n v="36357"/>
    <s v="BETHUNE MARY M ELEMENTARY SCHOOL"/>
    <m/>
    <m/>
    <n v="678"/>
    <n v="699"/>
    <m/>
    <m/>
    <n v="678"/>
    <n v="0.96995708154506433"/>
  </r>
  <r>
    <x v="5"/>
    <n v="0.63185358674778802"/>
    <n v="36523"/>
    <s v="BLANCHE ELY HIGH SCHOOL"/>
    <m/>
    <m/>
    <n v="1814"/>
    <n v="2087"/>
    <m/>
    <m/>
    <n v="1814"/>
    <n v="0.86919022520364164"/>
  </r>
  <r>
    <x v="5"/>
    <n v="0.63185358674778802"/>
    <n v="36417"/>
    <s v="BOULEVARD HEIGHTS ELEMENTARY"/>
    <m/>
    <m/>
    <n v="596"/>
    <n v="724"/>
    <m/>
    <m/>
    <n v="596"/>
    <n v="0.82320441988950277"/>
  </r>
  <r>
    <x v="5"/>
    <n v="0.63185358674778802"/>
    <n v="37104"/>
    <s v="BOYD H. ANDERSON HIGH SCHOOL"/>
    <m/>
    <m/>
    <n v="1571"/>
    <n v="1810"/>
    <m/>
    <m/>
    <n v="1571"/>
    <n v="0.86795580110497239"/>
  </r>
  <r>
    <x v="5"/>
    <n v="0.63185358674778802"/>
    <n v="36552"/>
    <s v="BRIGHT HORIZONS"/>
    <m/>
    <m/>
    <n v="90"/>
    <n v="140"/>
    <m/>
    <m/>
    <n v="90"/>
    <n v="0.6428571428571429"/>
  </r>
  <r>
    <x v="5"/>
    <n v="0.63185358674778802"/>
    <n v="36590"/>
    <s v="BROADVIEW ELEMENTARY SCHOOL"/>
    <m/>
    <m/>
    <n v="858"/>
    <n v="942"/>
    <m/>
    <m/>
    <n v="858"/>
    <n v="0.91082802547770703"/>
  </r>
  <r>
    <x v="5"/>
    <n v="0.63185358674778802"/>
    <n v="37131"/>
    <s v="BROWARD ESTATES ELEMENTARY SCHOOL"/>
    <m/>
    <m/>
    <n v="408"/>
    <n v="423"/>
    <m/>
    <m/>
    <n v="408"/>
    <n v="0.96453900709219853"/>
  </r>
  <r>
    <x v="5"/>
    <n v="0.63185358674778802"/>
    <n v="36595"/>
    <s v="C. ROBERT MARKHAM ELEMENTARY"/>
    <m/>
    <m/>
    <n v="564"/>
    <n v="576"/>
    <m/>
    <m/>
    <n v="564"/>
    <n v="0.97916666666666663"/>
  </r>
  <r>
    <x v="5"/>
    <n v="0.63185358674778802"/>
    <n v="37148"/>
    <s v="CASTLE HILL ELEMENTARY SCHOOL"/>
    <m/>
    <m/>
    <n v="566"/>
    <n v="580"/>
    <m/>
    <m/>
    <n v="566"/>
    <n v="0.97586206896551719"/>
  </r>
  <r>
    <x v="5"/>
    <n v="0.63185358674778802"/>
    <n v="37204"/>
    <s v="CENTRAL PARK ELEMENTARY SCHOOL"/>
    <m/>
    <m/>
    <n v="326"/>
    <n v="975"/>
    <m/>
    <m/>
    <n v="326"/>
    <n v="0.33435897435897438"/>
  </r>
  <r>
    <x v="5"/>
    <n v="0.63185358674778802"/>
    <n v="16022179"/>
    <s v="CENTRAL/WEST AREA TRANSPORTATION"/>
    <m/>
    <m/>
    <m/>
    <s v="0"/>
    <m/>
    <m/>
    <n v="0"/>
    <n v="0"/>
  </r>
  <r>
    <x v="5"/>
    <n v="0.63185358674778802"/>
    <n v="209470"/>
    <s v="CHALLENGER ELEMENTARY SCHOOL"/>
    <m/>
    <m/>
    <n v="690"/>
    <n v="985"/>
    <m/>
    <m/>
    <n v="690"/>
    <n v="0.70050761421319796"/>
  </r>
  <r>
    <x v="5"/>
    <n v="0.63185358674778802"/>
    <n v="36436"/>
    <s v="CHAPEL TRAIL ELEMENTARY SCHOOL"/>
    <m/>
    <m/>
    <n v="317"/>
    <n v="775"/>
    <m/>
    <m/>
    <n v="317"/>
    <n v="0.40903225806451615"/>
  </r>
  <r>
    <x v="5"/>
    <n v="0.63185358674778802"/>
    <n v="36593"/>
    <s v="CHARLES DREW ELEMENTARY SCHOOL"/>
    <m/>
    <m/>
    <n v="594"/>
    <n v="610"/>
    <m/>
    <m/>
    <n v="594"/>
    <n v="0.97377049180327868"/>
  </r>
  <r>
    <x v="5"/>
    <n v="0.63185358674778802"/>
    <n v="36435"/>
    <s v="CHARLES W FLANAGAN HIGH SCHOOL"/>
    <m/>
    <m/>
    <n v="1518"/>
    <n v="2816"/>
    <m/>
    <m/>
    <n v="1518"/>
    <n v="0.5390625"/>
  </r>
  <r>
    <x v="5"/>
    <n v="0.63185358674778802"/>
    <n v="36579"/>
    <s v="COCONUT CREEK ELEMENTARY SCHOOL"/>
    <m/>
    <m/>
    <n v="467"/>
    <n v="696"/>
    <m/>
    <m/>
    <n v="467"/>
    <n v="0.67097701149425293"/>
  </r>
  <r>
    <x v="5"/>
    <n v="0.63185358674778802"/>
    <n v="36577"/>
    <s v="COCONUT CREEK HIGH SCHOOL"/>
    <m/>
    <m/>
    <n v="1059"/>
    <n v="1382"/>
    <m/>
    <m/>
    <n v="1059"/>
    <n v="0.76628075253256156"/>
  </r>
  <r>
    <x v="5"/>
    <n v="0.63185358674778802"/>
    <n v="209469"/>
    <s v="COCONUT PALM ELEMENTARY SCHOOL"/>
    <m/>
    <m/>
    <n v="543"/>
    <n v="879"/>
    <m/>
    <m/>
    <n v="543"/>
    <n v="0.61774744027303752"/>
  </r>
  <r>
    <x v="5"/>
    <n v="0.63185358674778802"/>
    <n v="36371"/>
    <s v="COLBERT ELEMENTARY SCHOOL"/>
    <m/>
    <m/>
    <n v="623"/>
    <n v="663"/>
    <m/>
    <m/>
    <n v="623"/>
    <n v="0.9396681749622926"/>
  </r>
  <r>
    <x v="5"/>
    <n v="0.63185358674778802"/>
    <n v="36285"/>
    <s v="COLLINS ELEMENTARY SCHOOL"/>
    <m/>
    <m/>
    <n v="295"/>
    <n v="312"/>
    <m/>
    <m/>
    <n v="295"/>
    <n v="0.94551282051282048"/>
  </r>
  <r>
    <x v="5"/>
    <n v="0.63185358674778802"/>
    <n v="225093"/>
    <s v="COMMUNITY SCHOOLS NORTH (FORT LAUD ANNEX)"/>
    <m/>
    <m/>
    <m/>
    <s v="0"/>
    <m/>
    <m/>
    <n v="0"/>
    <n v="0"/>
  </r>
  <r>
    <x v="5"/>
    <n v="0.63185358674778802"/>
    <n v="207929"/>
    <s v="COMMUNITY SCHOOLS SOUTH (NEW RIVER CIRCLE)"/>
    <m/>
    <m/>
    <m/>
    <s v="0"/>
    <m/>
    <m/>
    <n v="0"/>
    <n v="0"/>
  </r>
  <r>
    <x v="5"/>
    <n v="0.63185358674778802"/>
    <n v="37227"/>
    <s v="COOPER CITY ELEMENTARY SCHOOL"/>
    <m/>
    <m/>
    <n v="326"/>
    <n v="740"/>
    <m/>
    <m/>
    <n v="326"/>
    <n v="0.44054054054054054"/>
  </r>
  <r>
    <x v="5"/>
    <n v="0.63185358674778802"/>
    <n v="37234"/>
    <s v="COOPER CITY HIGH SCHOOL"/>
    <m/>
    <m/>
    <n v="674"/>
    <n v="2291"/>
    <m/>
    <m/>
    <n v="674"/>
    <n v="0.29419467481449146"/>
  </r>
  <r>
    <x v="5"/>
    <n v="0.63185358674778802"/>
    <n v="16026376"/>
    <s v="CORAL COVE ELEMENTARY SCHOOL"/>
    <m/>
    <m/>
    <n v="474"/>
    <n v="949"/>
    <m/>
    <m/>
    <n v="474"/>
    <n v="0.49947312961011592"/>
  </r>
  <r>
    <x v="5"/>
    <n v="0.63185358674778802"/>
    <n v="233116"/>
    <s v="CORAL GLADES HIGH SCHOOL"/>
    <m/>
    <m/>
    <n v="1380"/>
    <n v="2494"/>
    <m/>
    <m/>
    <n v="1380"/>
    <n v="0.55332798716920606"/>
  </r>
  <r>
    <x v="5"/>
    <n v="0.63185358674778802"/>
    <n v="36582"/>
    <s v="CORAL PARK ELEMENTARY SCHOOL"/>
    <m/>
    <m/>
    <n v="345"/>
    <n v="672"/>
    <m/>
    <m/>
    <n v="345"/>
    <n v="0.5133928571428571"/>
  </r>
  <r>
    <x v="5"/>
    <n v="0.63185358674778802"/>
    <n v="36567"/>
    <s v="CORAL SPRINGS ELEMENTARY SCHOOL"/>
    <m/>
    <m/>
    <n v="572"/>
    <n v="673"/>
    <m/>
    <m/>
    <n v="572"/>
    <n v="0.84992570579494797"/>
  </r>
  <r>
    <x v="5"/>
    <n v="0.63185358674778802"/>
    <n v="36564"/>
    <s v="CORAL SPRINGS HIGH SCHOOL"/>
    <m/>
    <m/>
    <n v="1724"/>
    <n v="2845"/>
    <m/>
    <m/>
    <n v="1724"/>
    <n v="0.60597539543057999"/>
  </r>
  <r>
    <x v="5"/>
    <n v="0.63185358674778802"/>
    <n v="36610"/>
    <s v="CORAL SPRINGS MIDDLE SCHOOL"/>
    <m/>
    <m/>
    <n v="587"/>
    <n v="1163"/>
    <m/>
    <m/>
    <n v="587"/>
    <n v="0.50472914875322439"/>
  </r>
  <r>
    <x v="5"/>
    <n v="0.63185358674778802"/>
    <n v="36612"/>
    <s v="COUNTRY HILLS ELEMENTARY SCHOOL"/>
    <m/>
    <m/>
    <n v="335"/>
    <n v="853"/>
    <m/>
    <m/>
    <n v="335"/>
    <n v="0.39273153575615477"/>
  </r>
  <r>
    <x v="5"/>
    <n v="0.63185358674778802"/>
    <n v="37221"/>
    <s v="COUNTRY ISLES ELEMENTARY SCHOOL"/>
    <m/>
    <m/>
    <n v="289"/>
    <n v="1051"/>
    <m/>
    <m/>
    <n v="289"/>
    <n v="0.27497621313035203"/>
  </r>
  <r>
    <x v="5"/>
    <n v="0.63185358674778802"/>
    <n v="36563"/>
    <s v="CRESTHAVEN ELEMENTARY SCHOOL"/>
    <m/>
    <m/>
    <n v="636"/>
    <n v="709"/>
    <m/>
    <m/>
    <n v="636"/>
    <n v="0.89703808180535971"/>
  </r>
  <r>
    <x v="5"/>
    <n v="0.63185358674778802"/>
    <n v="37177"/>
    <s v="CROISSANT PARK ELEMENTARY SCHOOL"/>
    <m/>
    <m/>
    <n v="719"/>
    <n v="811"/>
    <m/>
    <m/>
    <n v="719"/>
    <n v="0.88655980271270041"/>
  </r>
  <r>
    <x v="5"/>
    <n v="0.63185358674778802"/>
    <n v="36592"/>
    <s v="CROSS CREEK SCHOOL"/>
    <m/>
    <m/>
    <n v="115"/>
    <n v="148"/>
    <m/>
    <m/>
    <n v="115"/>
    <n v="0.77702702702702697"/>
  </r>
  <r>
    <x v="5"/>
    <n v="0.63185358674778802"/>
    <n v="36553"/>
    <s v="CRYSTAL LAKE COMMUNITY MIDDLE"/>
    <m/>
    <m/>
    <n v="1117"/>
    <n v="1322"/>
    <m/>
    <m/>
    <n v="1117"/>
    <n v="0.84493192133131623"/>
  </r>
  <r>
    <x v="5"/>
    <n v="0.63185358674778802"/>
    <n v="218648"/>
    <s v="CYPRESS BAY HIGH SCHOOL"/>
    <m/>
    <m/>
    <n v="817"/>
    <n v="4606"/>
    <m/>
    <m/>
    <n v="817"/>
    <n v="0.17737733391228833"/>
  </r>
  <r>
    <x v="5"/>
    <n v="0.63185358674778802"/>
    <n v="36536"/>
    <s v="CYPRESS ELEMENTARY SCHOOL"/>
    <m/>
    <m/>
    <n v="785"/>
    <n v="831"/>
    <m/>
    <m/>
    <n v="785"/>
    <n v="0.9446450060168472"/>
  </r>
  <r>
    <x v="5"/>
    <n v="0.63185358674778802"/>
    <n v="36594"/>
    <s v="CYPRESS RUN ALTERNATIVE/ESE"/>
    <m/>
    <m/>
    <n v="93"/>
    <n v="107"/>
    <m/>
    <m/>
    <n v="93"/>
    <n v="0.86915887850467288"/>
  </r>
  <r>
    <x v="5"/>
    <n v="0.63185358674778802"/>
    <n v="36287"/>
    <s v="DANIA ELEMENTARY SCHOOL"/>
    <m/>
    <m/>
    <n v="437"/>
    <n v="510"/>
    <m/>
    <m/>
    <n v="437"/>
    <n v="0.85686274509803917"/>
  </r>
  <r>
    <x v="5"/>
    <n v="0.63185358674778802"/>
    <n v="172656"/>
    <s v="DAVE THOMAS EAST"/>
    <m/>
    <m/>
    <m/>
    <s v="0"/>
    <m/>
    <m/>
    <n v="0"/>
    <n v="0"/>
  </r>
  <r>
    <x v="5"/>
    <n v="0.63185358674778802"/>
    <n v="224152"/>
    <s v="DAVE THOMAS EDUCATION CENTER"/>
    <m/>
    <m/>
    <n v="335"/>
    <n v="442"/>
    <m/>
    <m/>
    <n v="335"/>
    <n v="0.75791855203619907"/>
  </r>
  <r>
    <x v="5"/>
    <n v="0.63185358674778802"/>
    <n v="37167"/>
    <s v="DAVIE ELEMENTARY SCHOOL"/>
    <m/>
    <m/>
    <n v="648"/>
    <n v="801"/>
    <m/>
    <m/>
    <n v="648"/>
    <n v="0.8089887640449438"/>
  </r>
  <r>
    <x v="5"/>
    <n v="0.63185358674778802"/>
    <n v="37414"/>
    <s v="DEERFIELD BEACH ELEMENTARY SCHOOL"/>
    <m/>
    <m/>
    <n v="536"/>
    <n v="692"/>
    <m/>
    <m/>
    <n v="536"/>
    <n v="0.77456647398843925"/>
  </r>
  <r>
    <x v="5"/>
    <n v="0.63185358674778802"/>
    <n v="37422"/>
    <s v="DEERFIELD BEACH HIGH SCHOOL"/>
    <m/>
    <m/>
    <n v="1685"/>
    <n v="2442"/>
    <m/>
    <m/>
    <n v="1685"/>
    <n v="0.69000819000819003"/>
  </r>
  <r>
    <x v="5"/>
    <n v="0.63185358674778802"/>
    <n v="37417"/>
    <s v="DEERFIELD BEACH MIDDLE SCHOOL"/>
    <m/>
    <m/>
    <n v="895"/>
    <n v="1113"/>
    <m/>
    <m/>
    <n v="895"/>
    <n v="0.80413297394429473"/>
  </r>
  <r>
    <x v="5"/>
    <n v="0.63185358674778802"/>
    <n v="37416"/>
    <s v="DEERFIELD PARK ELEMENTARY SCHOOL"/>
    <m/>
    <m/>
    <n v="526"/>
    <n v="562"/>
    <m/>
    <m/>
    <n v="526"/>
    <n v="0.93594306049822062"/>
  </r>
  <r>
    <x v="5"/>
    <n v="0.63185358674778802"/>
    <n v="37123"/>
    <s v="DILLARD  6-12"/>
    <m/>
    <m/>
    <n v="1925"/>
    <n v="2277"/>
    <m/>
    <m/>
    <n v="1925"/>
    <n v="0.84541062801932365"/>
  </r>
  <r>
    <x v="5"/>
    <n v="0.63185358674778802"/>
    <n v="37117"/>
    <s v="DILLARD ELEMENTARY SCHOOL"/>
    <m/>
    <m/>
    <n v="821"/>
    <n v="832"/>
    <m/>
    <m/>
    <n v="821"/>
    <n v="0.98677884615384615"/>
  </r>
  <r>
    <x v="5"/>
    <n v="0.63185358674778802"/>
    <n v="16052332"/>
    <s v="DISCOVERY ELEMENTARY SCHOOL"/>
    <m/>
    <m/>
    <n v="700"/>
    <n v="1020"/>
    <m/>
    <m/>
    <n v="700"/>
    <n v="0.68627450980392157"/>
  </r>
  <r>
    <x v="5"/>
    <n v="0.63185358674778802"/>
    <n v="16033143"/>
    <s v="DOLPHIN BAY ELEMENTARY SCHOOL"/>
    <m/>
    <m/>
    <n v="367"/>
    <n v="698"/>
    <m/>
    <m/>
    <n v="367"/>
    <n v="0.52578796561604579"/>
  </r>
  <r>
    <x v="5"/>
    <n v="0.63185358674778802"/>
    <n v="36407"/>
    <s v="DRIFTWOOD ELEMENTARY SCHOOL"/>
    <m/>
    <m/>
    <n v="435"/>
    <n v="543"/>
    <m/>
    <m/>
    <n v="435"/>
    <n v="0.80110497237569056"/>
  </r>
  <r>
    <x v="5"/>
    <n v="0.63185358674778802"/>
    <n v="36408"/>
    <s v="DRIFTWOOD MIDDLE SCHOOL"/>
    <m/>
    <m/>
    <n v="1130"/>
    <n v="1439"/>
    <m/>
    <m/>
    <n v="1130"/>
    <n v="0.78526754690757472"/>
  </r>
  <r>
    <x v="5"/>
    <n v="0.63185358674778802"/>
    <n v="37224"/>
    <s v="EAGLE POINT ELEMENTARY SCHOOL"/>
    <m/>
    <m/>
    <n v="497"/>
    <n v="1363"/>
    <m/>
    <m/>
    <n v="497"/>
    <n v="0.36463683052090978"/>
  </r>
  <r>
    <x v="5"/>
    <n v="0.63185358674778802"/>
    <n v="36613"/>
    <s v="EAGLE RIDGE ELEMENTARY SCHOOL"/>
    <m/>
    <m/>
    <n v="216"/>
    <n v="849"/>
    <m/>
    <m/>
    <n v="216"/>
    <n v="0.25441696113074203"/>
  </r>
  <r>
    <x v="5"/>
    <n v="0.63185358674778802"/>
    <n v="16022588"/>
    <s v="Edgewood Administrative Complex"/>
    <m/>
    <m/>
    <m/>
    <s v="0"/>
    <m/>
    <m/>
    <n v="0"/>
    <n v="0"/>
  </r>
  <r>
    <x v="5"/>
    <n v="0.63185358674778802"/>
    <n v="36431"/>
    <s v="EMBASSY CREEK ELEMENTARY SCHOOL"/>
    <m/>
    <m/>
    <n v="227"/>
    <n v="1156"/>
    <m/>
    <m/>
    <n v="227"/>
    <n v="0.19636678200692043"/>
  </r>
  <r>
    <x v="5"/>
    <n v="0.63185358674778802"/>
    <n v="228108"/>
    <s v="ENDEAVOUR PRIMARY LEARNING CENTER"/>
    <m/>
    <m/>
    <n v="417"/>
    <n v="424"/>
    <m/>
    <m/>
    <n v="417"/>
    <n v="0.98349056603773588"/>
  </r>
  <r>
    <x v="5"/>
    <n v="0.63185358674778802"/>
    <n v="203091"/>
    <s v="EVERGLADES ELEMENTARY SCHOOL"/>
    <m/>
    <m/>
    <n v="210"/>
    <n v="1109"/>
    <m/>
    <m/>
    <n v="210"/>
    <n v="0.18935978358881875"/>
  </r>
  <r>
    <x v="5"/>
    <n v="0.63185358674778802"/>
    <n v="227250"/>
    <s v="EVERGLADES HIGH SCHOOL"/>
    <m/>
    <m/>
    <n v="1192"/>
    <n v="2401"/>
    <m/>
    <m/>
    <n v="1192"/>
    <n v="0.49645980841316117"/>
  </r>
  <r>
    <x v="5"/>
    <n v="0.63185358674778802"/>
    <n v="36401"/>
    <s v="FAIRWAY ELEMENTARY SCHOOL"/>
    <m/>
    <m/>
    <n v="668"/>
    <n v="730"/>
    <m/>
    <m/>
    <n v="668"/>
    <n v="0.91506849315068495"/>
  </r>
  <r>
    <x v="5"/>
    <n v="0.63185358674778802"/>
    <n v="207989"/>
    <s v="FALCON COVE MIDDLE SCHOOL"/>
    <m/>
    <m/>
    <n v="303"/>
    <n v="2222"/>
    <m/>
    <m/>
    <n v="303"/>
    <n v="0.13636363636363635"/>
  </r>
  <r>
    <x v="5"/>
    <n v="0.63185358674778802"/>
    <n v="37217"/>
    <s v="FLAMINGO ELEMENTARY SCHOOL"/>
    <m/>
    <m/>
    <n v="404"/>
    <n v="665"/>
    <m/>
    <m/>
    <n v="404"/>
    <n v="0.60751879699248124"/>
  </r>
  <r>
    <x v="5"/>
    <n v="0.63185358674778802"/>
    <n v="37246"/>
    <s v="FLORANADA ELEMENTARY SCHOOL"/>
    <m/>
    <m/>
    <n v="393"/>
    <n v="735"/>
    <m/>
    <m/>
    <n v="393"/>
    <n v="0.53469387755102038"/>
  </r>
  <r>
    <x v="5"/>
    <n v="0.63185358674778802"/>
    <n v="36583"/>
    <s v="FOREST GLEN MIDDLE SCHOOL"/>
    <m/>
    <m/>
    <n v="835"/>
    <n v="1357"/>
    <m/>
    <m/>
    <n v="835"/>
    <n v="0.61532792925571111"/>
  </r>
  <r>
    <x v="5"/>
    <n v="0.63185358674778802"/>
    <n v="36573"/>
    <s v="FOREST HILLS ELEMENTARY SCHOOL"/>
    <m/>
    <m/>
    <n v="515"/>
    <n v="644"/>
    <m/>
    <m/>
    <n v="515"/>
    <n v="0.7996894409937888"/>
  </r>
  <r>
    <x v="5"/>
    <n v="0.63185358674778802"/>
    <n v="37091"/>
    <s v="FORT LAUDERDALE HIGH SCHOOL"/>
    <m/>
    <m/>
    <n v="1380"/>
    <n v="2149"/>
    <m/>
    <m/>
    <n v="1380"/>
    <n v="0.64215914378780825"/>
  </r>
  <r>
    <x v="5"/>
    <n v="0.63185358674778802"/>
    <n v="203079"/>
    <s v="FOX TRAIL ELEMENTARY SCHOOL"/>
    <m/>
    <m/>
    <n v="616"/>
    <n v="1272"/>
    <m/>
    <m/>
    <n v="616"/>
    <n v="0.48427672955974843"/>
  </r>
  <r>
    <x v="5"/>
    <n v="0.63185358674778802"/>
    <n v="203080"/>
    <s v="GATOR RUN ELEMENTARY SCHOOL"/>
    <m/>
    <m/>
    <n v="176"/>
    <n v="1290"/>
    <m/>
    <m/>
    <n v="176"/>
    <n v="0.13643410852713178"/>
  </r>
  <r>
    <x v="5"/>
    <n v="0.63185358674778802"/>
    <n v="16023193"/>
    <s v="GLADES MIDDLE SCHOOL"/>
    <m/>
    <m/>
    <n v="634"/>
    <n v="1303"/>
    <m/>
    <m/>
    <n v="634"/>
    <n v="0.48656945510360705"/>
  </r>
  <r>
    <x v="5"/>
    <n v="0.63185358674778802"/>
    <n v="37238"/>
    <s v="GRIFFIN ELEMENTARY SCHOOL"/>
    <m/>
    <m/>
    <n v="204"/>
    <n v="598"/>
    <m/>
    <m/>
    <n v="204"/>
    <n v="0.34113712374581939"/>
  </r>
  <r>
    <x v="5"/>
    <n v="0.63185358674778802"/>
    <n v="16033144"/>
    <s v="GULFSTREAM MIDDLE SCHOOL"/>
    <m/>
    <m/>
    <n v="466"/>
    <n v="521"/>
    <m/>
    <m/>
    <n v="466"/>
    <n v="0.89443378119001915"/>
  </r>
  <r>
    <x v="5"/>
    <n v="0.63185358674778802"/>
    <n v="36292"/>
    <s v="HALLANDALE ADULT/COMMUNITY CENTER"/>
    <m/>
    <m/>
    <n v="517"/>
    <n v="751"/>
    <m/>
    <m/>
    <n v="517"/>
    <n v="0.68841544607190408"/>
  </r>
  <r>
    <x v="5"/>
    <n v="0.63185358674778802"/>
    <n v="36291"/>
    <s v="HALLANDALE ELEMENTARY SCHOOL"/>
    <m/>
    <m/>
    <n v="982"/>
    <n v="1066"/>
    <m/>
    <m/>
    <n v="982"/>
    <n v="0.92120075046904315"/>
  </r>
  <r>
    <x v="5"/>
    <n v="0.63185358674778802"/>
    <n v="36290"/>
    <s v="HALLANDALE HIGH SCHOOL"/>
    <m/>
    <m/>
    <n v="1185"/>
    <n v="1382"/>
    <m/>
    <m/>
    <n v="1185"/>
    <n v="0.8574529667149059"/>
  </r>
  <r>
    <x v="5"/>
    <n v="0.63185358674778802"/>
    <n v="37182"/>
    <s v="HARBORDALE ELEMENTARY SCHOOL"/>
    <m/>
    <m/>
    <n v="183"/>
    <n v="448"/>
    <m/>
    <m/>
    <n v="183"/>
    <n v="0.40848214285714285"/>
  </r>
  <r>
    <x v="5"/>
    <n v="0.63185358674778802"/>
    <n v="37239"/>
    <s v="HAWKES BLUFF ELEMENTARY SCHOOL"/>
    <m/>
    <m/>
    <n v="234"/>
    <n v="857"/>
    <m/>
    <m/>
    <n v="234"/>
    <n v="0.27304550758459745"/>
  </r>
  <r>
    <x v="5"/>
    <n v="0.63185358674778802"/>
    <n v="36399"/>
    <s v="HENRY D. PERRY MIDDLE SCHOOL"/>
    <m/>
    <m/>
    <n v="300"/>
    <n v="343"/>
    <m/>
    <m/>
    <n v="300"/>
    <n v="0.87463556851311952"/>
  </r>
  <r>
    <x v="5"/>
    <n v="0.63185358674778802"/>
    <n v="16052334"/>
    <s v="HERON HEIGHTS ELEMENTARY SCHOOL"/>
    <m/>
    <m/>
    <n v="101"/>
    <n v="1007"/>
    <m/>
    <m/>
    <n v="101"/>
    <n v="0.1002979145978153"/>
  </r>
  <r>
    <x v="5"/>
    <n v="0.63185358674778802"/>
    <n v="36369"/>
    <s v="HOLLYWOOD CENTRAL ELEMENTARY SCHOOL"/>
    <m/>
    <m/>
    <n v="357"/>
    <n v="465"/>
    <m/>
    <m/>
    <n v="357"/>
    <n v="0.76774193548387093"/>
  </r>
  <r>
    <x v="5"/>
    <n v="0.63185358674778802"/>
    <n v="36380"/>
    <s v="HOLLYWOOD HILLS ELEMENTARY SCHOOL"/>
    <m/>
    <m/>
    <n v="366"/>
    <n v="733"/>
    <m/>
    <m/>
    <n v="366"/>
    <n v="0.49931787175989084"/>
  </r>
  <r>
    <x v="5"/>
    <n v="0.63185358674778802"/>
    <n v="36373"/>
    <s v="HOLLYWOOD HILLS HIGH SCHOOL"/>
    <m/>
    <m/>
    <n v="1434"/>
    <n v="1961"/>
    <m/>
    <m/>
    <n v="1434"/>
    <n v="0.73125956144824067"/>
  </r>
  <r>
    <x v="5"/>
    <n v="0.63185358674778802"/>
    <n v="36414"/>
    <s v="HOLLYWOOD PARK ELEMENTARY SCHOOL"/>
    <m/>
    <m/>
    <n v="456"/>
    <n v="512"/>
    <m/>
    <m/>
    <n v="456"/>
    <n v="0.890625"/>
  </r>
  <r>
    <x v="5"/>
    <n v="0.63185358674778802"/>
    <n v="37202"/>
    <s v="HORIZON ELEMENTARY SCHOOL"/>
    <m/>
    <m/>
    <n v="444"/>
    <n v="552"/>
    <m/>
    <m/>
    <n v="444"/>
    <n v="0.80434782608695654"/>
  </r>
  <r>
    <x v="5"/>
    <n v="0.63185358674778802"/>
    <n v="37210"/>
    <s v="INDIAN RIDGE MIDDLE SCHOOL"/>
    <m/>
    <m/>
    <n v="680"/>
    <n v="1787"/>
    <m/>
    <m/>
    <n v="680"/>
    <n v="0.38052602126468943"/>
  </r>
  <r>
    <x v="5"/>
    <n v="0.63185358674778802"/>
    <n v="37222"/>
    <s v="INDIAN TRACE ELEMENTARY SCHOOL"/>
    <m/>
    <m/>
    <n v="181"/>
    <n v="747"/>
    <m/>
    <m/>
    <n v="181"/>
    <n v="0.24230254350736277"/>
  </r>
  <r>
    <x v="5"/>
    <n v="0.63185358674778802"/>
    <n v="36606"/>
    <s v="J. P. TARAVELLA HIGH SCHOOL"/>
    <m/>
    <m/>
    <n v="1724"/>
    <n v="3118"/>
    <m/>
    <m/>
    <n v="1724"/>
    <n v="0.55291853752405384"/>
  </r>
  <r>
    <x v="5"/>
    <n v="0.63185358674778802"/>
    <n v="36568"/>
    <s v="JAMES S. HUNT ELEMENTARY SCHOOL"/>
    <m/>
    <m/>
    <n v="637"/>
    <n v="715"/>
    <m/>
    <m/>
    <n v="637"/>
    <n v="0.89090909090909087"/>
  </r>
  <r>
    <x v="5"/>
    <n v="0.63185358674778802"/>
    <n v="37245"/>
    <s v="JAMES S. RICKARDS MIDDLE SCHOOL"/>
    <m/>
    <m/>
    <n v="797"/>
    <n v="944"/>
    <m/>
    <m/>
    <n v="797"/>
    <n v="0.84427966101694918"/>
  </r>
  <r>
    <x v="5"/>
    <n v="0.63185358674778802"/>
    <n v="224985"/>
    <s v="KC Wright Building"/>
    <m/>
    <m/>
    <m/>
    <s v="0"/>
    <m/>
    <m/>
    <n v="0"/>
    <n v="0"/>
  </r>
  <r>
    <x v="5"/>
    <n v="0.63185358674778802"/>
    <n v="36396"/>
    <s v="LAKE FOREST ELEMENTARY SCHOOL"/>
    <m/>
    <m/>
    <n v="706"/>
    <n v="732"/>
    <m/>
    <m/>
    <n v="706"/>
    <n v="0.96448087431693985"/>
  </r>
  <r>
    <x v="5"/>
    <n v="0.63185358674778802"/>
    <n v="207874"/>
    <s v="LAKESIDE ELEMENTARY SCHOOL"/>
    <m/>
    <m/>
    <n v="377"/>
    <n v="766"/>
    <m/>
    <m/>
    <n v="377"/>
    <n v="0.49216710182767626"/>
  </r>
  <r>
    <x v="5"/>
    <n v="0.63185358674778802"/>
    <n v="36289"/>
    <s v="LANIER-JAMES EDUCATION CENTER"/>
    <m/>
    <m/>
    <n v="66"/>
    <n v="76"/>
    <m/>
    <m/>
    <n v="66"/>
    <n v="0.86842105263157898"/>
  </r>
  <r>
    <x v="5"/>
    <n v="0.63185358674778802"/>
    <n v="37120"/>
    <s v="LARKDALE ELEMENTARY SCHOOL"/>
    <m/>
    <m/>
    <n v="372"/>
    <n v="387"/>
    <m/>
    <m/>
    <n v="372"/>
    <n v="0.96124031007751942"/>
  </r>
  <r>
    <x v="5"/>
    <n v="0.63185358674778802"/>
    <n v="37103"/>
    <s v="LAUDERDALE LAKES MIDDLE SCHOOL"/>
    <m/>
    <m/>
    <n v="808"/>
    <n v="884"/>
    <m/>
    <m/>
    <n v="808"/>
    <n v="0.91402714932126694"/>
  </r>
  <r>
    <x v="5"/>
    <n v="0.63185358674778802"/>
    <n v="16075723"/>
    <s v="LAUDERDALE MANORS EARLY LEARNING &amp; RESOURCE CENTER"/>
    <m/>
    <m/>
    <m/>
    <s v="0"/>
    <m/>
    <m/>
    <n v="0"/>
    <n v="0"/>
  </r>
  <r>
    <x v="5"/>
    <n v="0.63185358674778802"/>
    <n v="37152"/>
    <s v="LAUDERHILL 6-12"/>
    <m/>
    <m/>
    <n v="674"/>
    <n v="727"/>
    <m/>
    <m/>
    <n v="674"/>
    <n v="0.92709766162310869"/>
  </r>
  <r>
    <x v="5"/>
    <n v="0.63185358674778802"/>
    <n v="37158"/>
    <s v="LAUDERHILL PAUL TURNER ELEMENTARY SCHOOL"/>
    <m/>
    <m/>
    <n v="696"/>
    <n v="733"/>
    <m/>
    <m/>
    <n v="696"/>
    <n v="0.94952251023192358"/>
  </r>
  <r>
    <x v="5"/>
    <n v="0.63185358674778802"/>
    <n v="227234"/>
    <s v="LIBERTY ELEMENTARY SCHOOL"/>
    <m/>
    <m/>
    <n v="851"/>
    <n v="1061"/>
    <m/>
    <m/>
    <n v="851"/>
    <n v="0.80207351555136663"/>
  </r>
  <r>
    <x v="5"/>
    <n v="0.63185358674778802"/>
    <n v="37106"/>
    <s v="LLOYD ESTATES ELEMENTARY SCHOOL"/>
    <m/>
    <m/>
    <n v="582"/>
    <n v="603"/>
    <m/>
    <m/>
    <n v="582"/>
    <n v="0.96517412935323388"/>
  </r>
  <r>
    <x v="5"/>
    <n v="0.63185358674778802"/>
    <n v="207991"/>
    <s v="LYONS CREEK MIDDLE SCHOOL"/>
    <m/>
    <m/>
    <n v="1046"/>
    <n v="1892"/>
    <m/>
    <m/>
    <n v="1046"/>
    <n v="0.55285412262156453"/>
  </r>
  <r>
    <x v="5"/>
    <n v="0.63185358674778802"/>
    <n v="227236"/>
    <s v="MANATEE BAY ELEMENTARY SCHOOL"/>
    <m/>
    <m/>
    <n v="204"/>
    <n v="1181"/>
    <m/>
    <m/>
    <n v="204"/>
    <n v="0.17273497036409821"/>
  </r>
  <r>
    <x v="5"/>
    <n v="0.63185358674778802"/>
    <n v="36601"/>
    <s v="MAPLEWOOD ELEMENTARY SCHOOL"/>
    <m/>
    <m/>
    <n v="457"/>
    <n v="766"/>
    <m/>
    <m/>
    <n v="457"/>
    <n v="0.59660574412532641"/>
  </r>
  <r>
    <x v="5"/>
    <n v="0.63185358674778802"/>
    <n v="36542"/>
    <s v="MARGATE ELEMENTARY SCHOOL"/>
    <m/>
    <m/>
    <n v="707"/>
    <n v="1023"/>
    <m/>
    <m/>
    <n v="707"/>
    <n v="0.69110459433040083"/>
  </r>
  <r>
    <x v="5"/>
    <n v="0.63185358674778802"/>
    <n v="36547"/>
    <s v="MARGATE MIDDLE SCHOOL"/>
    <m/>
    <m/>
    <n v="1016"/>
    <n v="1235"/>
    <m/>
    <m/>
    <n v="1016"/>
    <n v="0.8226720647773279"/>
  </r>
  <r>
    <x v="5"/>
    <n v="0.63185358674778802"/>
    <n v="36611"/>
    <s v="MARJORY STONEMAN DOUGLAS HIGH SCHOOL"/>
    <m/>
    <m/>
    <n v="717"/>
    <n v="3155"/>
    <m/>
    <m/>
    <n v="717"/>
    <n v="0.22725832012678288"/>
  </r>
  <r>
    <x v="5"/>
    <n v="0.63185358674778802"/>
    <n v="37129"/>
    <s v="MARTIN LUTHER KING ELEMENTARY SCHOOL"/>
    <m/>
    <m/>
    <n v="404"/>
    <n v="416"/>
    <m/>
    <m/>
    <n v="404"/>
    <n v="0.97115384615384615"/>
  </r>
  <r>
    <x v="5"/>
    <n v="0.63185358674778802"/>
    <n v="36419"/>
    <s v="MCARTHUR HIGH SCHOOL"/>
    <m/>
    <m/>
    <n v="1632"/>
    <n v="2217"/>
    <m/>
    <m/>
    <n v="1632"/>
    <n v="0.73612990527740185"/>
  </r>
  <r>
    <x v="5"/>
    <n v="0.63185358674778802"/>
    <n v="36537"/>
    <s v="MCNAB ELEMENTARY SCHOOL"/>
    <m/>
    <m/>
    <n v="346"/>
    <n v="609"/>
    <m/>
    <m/>
    <n v="346"/>
    <n v="0.56814449917898191"/>
  </r>
  <r>
    <x v="5"/>
    <n v="0.63185358674778802"/>
    <n v="36370"/>
    <s v="MCNICOL MIDDLE SCHOOL"/>
    <m/>
    <m/>
    <n v="753"/>
    <n v="833"/>
    <m/>
    <m/>
    <n v="753"/>
    <n v="0.90396158463385357"/>
  </r>
  <r>
    <x v="5"/>
    <n v="0.63185358674778802"/>
    <n v="37192"/>
    <s v="MEADOWBROOK ELEMENTARY SCHOOL"/>
    <m/>
    <m/>
    <n v="663"/>
    <n v="721"/>
    <m/>
    <m/>
    <n v="663"/>
    <n v="0.91955617198335649"/>
  </r>
  <r>
    <x v="5"/>
    <n v="0.63185358674778802"/>
    <n v="232468"/>
    <s v="MILLENNIUM MIDDLE SCHOOL"/>
    <m/>
    <m/>
    <n v="1118"/>
    <n v="1501"/>
    <m/>
    <m/>
    <n v="1118"/>
    <n v="0.7448367754830113"/>
  </r>
  <r>
    <x v="5"/>
    <n v="0.63185358674778802"/>
    <n v="36388"/>
    <s v="MIRAMAR ELEMENTARY SCHOOL"/>
    <m/>
    <m/>
    <n v="676"/>
    <n v="753"/>
    <m/>
    <m/>
    <n v="676"/>
    <n v="0.89774236387782202"/>
  </r>
  <r>
    <x v="5"/>
    <n v="0.63185358674778802"/>
    <n v="36425"/>
    <s v="MIRAMAR HIGH SCHOOL"/>
    <m/>
    <m/>
    <n v="1912"/>
    <n v="2598"/>
    <m/>
    <m/>
    <n v="1912"/>
    <n v="0.73595073133179367"/>
  </r>
  <r>
    <x v="5"/>
    <n v="0.63185358674778802"/>
    <n v="37163"/>
    <s v="MIRROR LAKE ELEMENTARY SCHOOL"/>
    <m/>
    <m/>
    <n v="452"/>
    <n v="618"/>
    <m/>
    <m/>
    <n v="452"/>
    <n v="0.73139158576051777"/>
  </r>
  <r>
    <x v="5"/>
    <n v="0.63185358674778802"/>
    <n v="227248"/>
    <s v="MONARCH HIGH SCHOOL"/>
    <m/>
    <m/>
    <n v="1272"/>
    <n v="2388"/>
    <m/>
    <m/>
    <n v="1272"/>
    <n v="0.53266331658291455"/>
  </r>
  <r>
    <x v="5"/>
    <n v="0.63185358674778802"/>
    <n v="36584"/>
    <s v="MORROW ELEMENTARY SCHOOL"/>
    <m/>
    <m/>
    <n v="419"/>
    <n v="442"/>
    <m/>
    <m/>
    <n v="419"/>
    <n v="0.94796380090497734"/>
  </r>
  <r>
    <x v="5"/>
    <n v="0.63185358674778802"/>
    <n v="218647"/>
    <s v="NEW RENAISSANCE MIDDLE SCHOOL"/>
    <m/>
    <m/>
    <n v="741"/>
    <n v="891"/>
    <m/>
    <m/>
    <n v="741"/>
    <n v="0.83164983164983164"/>
  </r>
  <r>
    <x v="5"/>
    <n v="0.63185358674778802"/>
    <n v="37141"/>
    <s v="NEW RIVER MIDDLE SCHOOL"/>
    <m/>
    <m/>
    <n v="1172"/>
    <n v="1441"/>
    <m/>
    <m/>
    <n v="1172"/>
    <n v="0.81332408049965299"/>
  </r>
  <r>
    <x v="5"/>
    <n v="0.63185358674778802"/>
    <n v="37200"/>
    <s v="NOB HILL ELEMENTARY SCHOOL"/>
    <m/>
    <m/>
    <n v="333"/>
    <n v="553"/>
    <m/>
    <m/>
    <n v="333"/>
    <n v="0.60216998191681737"/>
  </r>
  <r>
    <x v="5"/>
    <n v="0.63185358674778802"/>
    <n v="36560"/>
    <s v="NORCREST ELEMENTARY SCHOOL"/>
    <m/>
    <m/>
    <n v="627"/>
    <n v="846"/>
    <m/>
    <m/>
    <n v="627"/>
    <n v="0.74113475177304966"/>
  </r>
  <r>
    <x v="5"/>
    <n v="0.63185358674778802"/>
    <n v="37241"/>
    <s v="NORTH ANDREWS GARDENS ELEMENTARY SCHOOL"/>
    <m/>
    <m/>
    <n v="699"/>
    <n v="908"/>
    <m/>
    <m/>
    <n v="699"/>
    <n v="0.76982378854625555"/>
  </r>
  <r>
    <x v="5"/>
    <n v="0.63185358674778802"/>
    <n v="16022180"/>
    <s v="North Area Transportation"/>
    <m/>
    <m/>
    <m/>
    <s v="0"/>
    <m/>
    <m/>
    <n v="0"/>
    <n v="0"/>
  </r>
  <r>
    <x v="5"/>
    <n v="0.63185358674778802"/>
    <n v="37132"/>
    <s v="NORTH FORK ELEMENTARY SCHOOL"/>
    <m/>
    <m/>
    <n v="485"/>
    <n v="493"/>
    <m/>
    <m/>
    <n v="485"/>
    <n v="0.98377281947261663"/>
  </r>
  <r>
    <x v="5"/>
    <n v="0.63185358674778802"/>
    <n v="36585"/>
    <s v="NORTH LAUDERDALE ELEMENTARY"/>
    <m/>
    <m/>
    <n v="642"/>
    <n v="688"/>
    <m/>
    <m/>
    <n v="642"/>
    <n v="0.93313953488372092"/>
  </r>
  <r>
    <x v="5"/>
    <n v="0.63185358674778802"/>
    <n v="37087"/>
    <s v="NORTH SIDE ELEMENTARY SCHOOL"/>
    <m/>
    <m/>
    <n v="439"/>
    <n v="446"/>
    <m/>
    <m/>
    <n v="439"/>
    <n v="0.98430493273542596"/>
  </r>
  <r>
    <x v="5"/>
    <n v="0.63185358674778802"/>
    <n v="37244"/>
    <s v="NORTHEAST HIGH SCHOOL"/>
    <m/>
    <m/>
    <n v="1378"/>
    <n v="1859"/>
    <m/>
    <m/>
    <n v="1378"/>
    <n v="0.74125874125874125"/>
  </r>
  <r>
    <x v="5"/>
    <n v="0.63185358674778802"/>
    <n v="16022181"/>
    <s v="Northwest Area Transportation"/>
    <m/>
    <m/>
    <m/>
    <s v="0"/>
    <m/>
    <m/>
    <n v="0"/>
    <n v="0"/>
  </r>
  <r>
    <x v="5"/>
    <n v="0.63185358674778802"/>
    <n v="37166"/>
    <s v="NOVA BLANCHE FORMAN ELEMENTARY"/>
    <m/>
    <m/>
    <n v="483"/>
    <n v="767"/>
    <m/>
    <m/>
    <n v="483"/>
    <n v="0.62972620599739249"/>
  </r>
  <r>
    <x v="5"/>
    <n v="0.63185358674778802"/>
    <n v="37168"/>
    <s v="NOVA DWIGHT D. EISENHOWER ELEM"/>
    <m/>
    <m/>
    <n v="494"/>
    <n v="768"/>
    <m/>
    <m/>
    <n v="494"/>
    <n v="0.64322916666666663"/>
  </r>
  <r>
    <x v="5"/>
    <n v="0.63185358674778802"/>
    <n v="37175"/>
    <s v="NOVA HIGH SCHOOL"/>
    <m/>
    <m/>
    <n v="1309"/>
    <n v="2174"/>
    <m/>
    <m/>
    <n v="1309"/>
    <n v="0.60211591536338549"/>
  </r>
  <r>
    <x v="5"/>
    <n v="0.63185358674778802"/>
    <n v="37174"/>
    <s v="NOVA MIDDLE SCHOOL"/>
    <m/>
    <m/>
    <n v="811"/>
    <n v="1278"/>
    <m/>
    <m/>
    <n v="811"/>
    <n v="0.63458528951486703"/>
  </r>
  <r>
    <x v="5"/>
    <n v="0.63185358674778802"/>
    <n v="37242"/>
    <s v="OAKLAND PARK ELEMENTARY SCHOOL"/>
    <m/>
    <m/>
    <n v="601"/>
    <n v="645"/>
    <m/>
    <m/>
    <n v="601"/>
    <n v="0.93178294573643405"/>
  </r>
  <r>
    <x v="5"/>
    <n v="0.63185358674778802"/>
    <n v="36360"/>
    <s v="OAKRIDGE ELEMENTARY SCHOOL"/>
    <m/>
    <m/>
    <n v="414"/>
    <n v="466"/>
    <m/>
    <m/>
    <n v="414"/>
    <n v="0.88841201716738194"/>
  </r>
  <r>
    <x v="5"/>
    <n v="0.63185358674778802"/>
    <n v="36288"/>
    <s v="OLSEN MIDDLE SCHOOL"/>
    <m/>
    <m/>
    <n v="556"/>
    <n v="676"/>
    <m/>
    <m/>
    <n v="556"/>
    <n v="0.8224852071005917"/>
  </r>
  <r>
    <x v="5"/>
    <n v="0.63185358674778802"/>
    <n v="36384"/>
    <s v="ORANGE BROOK ELEMENTARY SCHOOL"/>
    <m/>
    <m/>
    <n v="657"/>
    <n v="734"/>
    <m/>
    <m/>
    <n v="657"/>
    <n v="0.89509536784741139"/>
  </r>
  <r>
    <x v="5"/>
    <n v="0.63185358674778802"/>
    <n v="37105"/>
    <s v="ORIOLE ELEMENTARY SCHOOL"/>
    <m/>
    <m/>
    <n v="579"/>
    <n v="619"/>
    <m/>
    <m/>
    <n v="579"/>
    <n v="0.93537964458804523"/>
  </r>
  <r>
    <x v="5"/>
    <n v="0.63185358674778802"/>
    <n v="36427"/>
    <s v="PALM COVE ELEMENTARY SCHOOL"/>
    <m/>
    <m/>
    <n v="533"/>
    <n v="728"/>
    <m/>
    <m/>
    <n v="533"/>
    <n v="0.7321428571428571"/>
  </r>
  <r>
    <x v="5"/>
    <n v="0.63185358674778802"/>
    <n v="36555"/>
    <s v="PALMVIEW ELEMENTARY SCHOOL"/>
    <m/>
    <m/>
    <n v="610"/>
    <n v="623"/>
    <m/>
    <m/>
    <n v="610"/>
    <n v="0.9791332263242376"/>
  </r>
  <r>
    <x v="5"/>
    <n v="0.63185358674778802"/>
    <n v="149958"/>
    <s v="PANTHER RUN ELEMENTARY SCHOOL"/>
    <m/>
    <m/>
    <n v="200"/>
    <n v="572"/>
    <m/>
    <m/>
    <n v="200"/>
    <n v="0.34965034965034963"/>
  </r>
  <r>
    <x v="5"/>
    <n v="0.63185358674778802"/>
    <n v="209472"/>
    <s v="PARK LAKES ELEMENTARY SCHOOL"/>
    <m/>
    <m/>
    <n v="1133"/>
    <n v="1194"/>
    <m/>
    <m/>
    <n v="1133"/>
    <n v="0.9489112227805695"/>
  </r>
  <r>
    <x v="5"/>
    <n v="0.63185358674778802"/>
    <n v="36558"/>
    <s v="PARK RIDGE ELEMENTARY SCHOOL"/>
    <m/>
    <m/>
    <n v="486"/>
    <n v="510"/>
    <m/>
    <m/>
    <n v="486"/>
    <n v="0.95294117647058818"/>
  </r>
  <r>
    <x v="5"/>
    <n v="0.63185358674778802"/>
    <n v="36581"/>
    <s v="PARK SPRINGS ELEMENTARY SCHOOL"/>
    <m/>
    <m/>
    <n v="415"/>
    <n v="1031"/>
    <m/>
    <m/>
    <n v="415"/>
    <n v="0.40252182347235693"/>
  </r>
  <r>
    <x v="5"/>
    <n v="0.63185358674778802"/>
    <n v="209468"/>
    <s v="PARK TRAILS ELEMENTARY SCHOOL"/>
    <m/>
    <m/>
    <n v="155"/>
    <n v="1320"/>
    <m/>
    <m/>
    <n v="155"/>
    <n v="0.11742424242424243"/>
  </r>
  <r>
    <x v="5"/>
    <n v="0.63185358674778802"/>
    <n v="207990"/>
    <s v="PARKSIDE ELEMENTARY SCHOOL"/>
    <m/>
    <m/>
    <n v="538"/>
    <n v="774"/>
    <m/>
    <m/>
    <n v="538"/>
    <n v="0.69509043927648584"/>
  </r>
  <r>
    <x v="5"/>
    <n v="0.63185358674778802"/>
    <n v="37128"/>
    <s v="PARKWAY MIDDLE SCHOOL"/>
    <m/>
    <m/>
    <n v="1264"/>
    <n v="1487"/>
    <m/>
    <m/>
    <n v="1264"/>
    <n v="0.85003362474781441"/>
  </r>
  <r>
    <x v="5"/>
    <n v="0.63185358674778802"/>
    <n v="36410"/>
    <s v="PASADENA LAKES ELEMENTARY SCHOOL"/>
    <m/>
    <m/>
    <n v="396"/>
    <n v="545"/>
    <m/>
    <m/>
    <n v="396"/>
    <n v="0.726605504587156"/>
  </r>
  <r>
    <x v="5"/>
    <n v="0.63185358674778802"/>
    <n v="36429"/>
    <s v="PEMBROKE LAKES ELEMENTARY SCHOOL"/>
    <m/>
    <m/>
    <n v="339"/>
    <n v="601"/>
    <m/>
    <m/>
    <n v="339"/>
    <n v="0.56405990016638941"/>
  </r>
  <r>
    <x v="5"/>
    <n v="0.63185358674778802"/>
    <n v="36386"/>
    <s v="PEMBROKE PINES ELEMENTARY SCHOOL"/>
    <m/>
    <m/>
    <n v="451"/>
    <n v="555"/>
    <m/>
    <m/>
    <n v="451"/>
    <n v="0.81261261261261264"/>
  </r>
  <r>
    <x v="5"/>
    <n v="0.63185358674778802"/>
    <n v="37183"/>
    <s v="PETERS ELEMENTARY SCHOOL"/>
    <m/>
    <m/>
    <n v="402"/>
    <n v="604"/>
    <m/>
    <m/>
    <n v="402"/>
    <n v="0.66556291390728473"/>
  </r>
  <r>
    <x v="5"/>
    <n v="0.63185358674778802"/>
    <n v="233383"/>
    <s v="Physical Plant Operations-Zone 1"/>
    <m/>
    <m/>
    <m/>
    <s v="0"/>
    <m/>
    <m/>
    <n v="0"/>
    <n v="0"/>
  </r>
  <r>
    <x v="5"/>
    <n v="0.63185358674778802"/>
    <n v="16038831"/>
    <s v="Physical Plant Operations-Zone 2"/>
    <m/>
    <m/>
    <m/>
    <s v="0"/>
    <m/>
    <m/>
    <n v="0"/>
    <n v="0"/>
  </r>
  <r>
    <x v="5"/>
    <n v="0.63185358674778802"/>
    <n v="16022176"/>
    <s v="Physical Plant Operations-Zone 3"/>
    <m/>
    <m/>
    <m/>
    <s v="0"/>
    <m/>
    <m/>
    <n v="0"/>
    <n v="0"/>
  </r>
  <r>
    <x v="5"/>
    <n v="0.63185358674778802"/>
    <n v="16038832"/>
    <s v="Physical Plant Operations-Zone 4"/>
    <m/>
    <m/>
    <m/>
    <s v="0"/>
    <m/>
    <m/>
    <n v="0"/>
    <n v="0"/>
  </r>
  <r>
    <x v="5"/>
    <n v="0.63185358674778802"/>
    <n v="37190"/>
    <s v="PINE RIDGE ALTERNATIVE CENTER"/>
    <m/>
    <m/>
    <n v="70"/>
    <n v="71"/>
    <m/>
    <m/>
    <n v="70"/>
    <n v="0.9859154929577465"/>
  </r>
  <r>
    <x v="5"/>
    <n v="0.63185358674778802"/>
    <n v="36430"/>
    <s v="PINES LAKES ELEMENTARY SCHOOL"/>
    <m/>
    <m/>
    <n v="409"/>
    <n v="571"/>
    <m/>
    <m/>
    <n v="409"/>
    <n v="0.71628721541155871"/>
  </r>
  <r>
    <x v="5"/>
    <n v="0.63185358674778802"/>
    <n v="36416"/>
    <s v="PINES MIDDLE SCHOOL"/>
    <m/>
    <m/>
    <n v="845"/>
    <n v="1104"/>
    <m/>
    <m/>
    <n v="845"/>
    <n v="0.76539855072463769"/>
  </r>
  <r>
    <x v="5"/>
    <n v="0.63185358674778802"/>
    <n v="36589"/>
    <s v="PINEWOOD ELEMENTARY SCHOOL"/>
    <m/>
    <m/>
    <n v="473"/>
    <n v="552"/>
    <m/>
    <m/>
    <n v="473"/>
    <n v="0.85688405797101452"/>
  </r>
  <r>
    <x v="5"/>
    <n v="0.63185358674778802"/>
    <n v="37231"/>
    <s v="PIONEER MIDDLE SCHOOL"/>
    <m/>
    <m/>
    <n v="371"/>
    <n v="1312"/>
    <m/>
    <m/>
    <n v="371"/>
    <n v="0.28277439024390244"/>
  </r>
  <r>
    <x v="5"/>
    <n v="0.63185358674778802"/>
    <n v="37253"/>
    <s v="PIPER HIGH SCHOOL"/>
    <m/>
    <m/>
    <n v="1629"/>
    <n v="2440"/>
    <m/>
    <m/>
    <n v="1629"/>
    <n v="0.66762295081967216"/>
  </r>
  <r>
    <x v="5"/>
    <n v="0.63185358674778802"/>
    <n v="37184"/>
    <s v="PLANTATION ELEMENTARY SCHOOL"/>
    <m/>
    <m/>
    <n v="496"/>
    <n v="536"/>
    <m/>
    <m/>
    <n v="496"/>
    <n v="0.92537313432835822"/>
  </r>
  <r>
    <x v="5"/>
    <n v="0.63185358674778802"/>
    <n v="37155"/>
    <s v="PLANTATION HIGH SCHOOL"/>
    <m/>
    <m/>
    <n v="1624"/>
    <n v="2330"/>
    <m/>
    <m/>
    <n v="1624"/>
    <n v="0.6969957081545064"/>
  </r>
  <r>
    <x v="5"/>
    <n v="0.63185358674778802"/>
    <n v="37162"/>
    <s v="PLANTATION MIDDLE SCHOOL"/>
    <m/>
    <m/>
    <n v="585"/>
    <n v="793"/>
    <m/>
    <m/>
    <n v="585"/>
    <n v="0.73770491803278693"/>
  </r>
  <r>
    <x v="5"/>
    <n v="0.63185358674778802"/>
    <n v="37187"/>
    <s v="PLANTATION PARK ELEMENTARY"/>
    <m/>
    <m/>
    <n v="302"/>
    <n v="544"/>
    <m/>
    <m/>
    <n v="302"/>
    <n v="0.55514705882352944"/>
  </r>
  <r>
    <x v="5"/>
    <n v="0.63185358674778802"/>
    <n v="127716"/>
    <s v="Pompano Admin Center"/>
    <m/>
    <m/>
    <m/>
    <s v="0"/>
    <m/>
    <m/>
    <n v="0"/>
    <n v="0"/>
  </r>
  <r>
    <x v="5"/>
    <n v="0.63185358674778802"/>
    <n v="36530"/>
    <s v="POMPANO BEACH ELEMENTARY SCHOOL"/>
    <m/>
    <m/>
    <n v="491"/>
    <n v="528"/>
    <m/>
    <m/>
    <n v="491"/>
    <n v="0.92992424242424243"/>
  </r>
  <r>
    <x v="5"/>
    <n v="0.63185358674778802"/>
    <n v="207877"/>
    <s v="POMPANO BEACH HIGH SCHOOL"/>
    <m/>
    <m/>
    <n v="511"/>
    <n v="1206"/>
    <m/>
    <m/>
    <n v="511"/>
    <n v="0.42371475953565507"/>
  </r>
  <r>
    <x v="5"/>
    <n v="0.63185358674778802"/>
    <n v="36526"/>
    <s v="POMPANO BEACH MIDDLE SCHOOL"/>
    <m/>
    <m/>
    <n v="870"/>
    <n v="992"/>
    <m/>
    <m/>
    <n v="870"/>
    <n v="0.87701612903225812"/>
  </r>
  <r>
    <x v="5"/>
    <n v="0.63185358674778802"/>
    <n v="37424"/>
    <s v="QUIET WATERS ELEMENTARY SCHOOL"/>
    <m/>
    <m/>
    <n v="883"/>
    <n v="1370"/>
    <m/>
    <m/>
    <n v="883"/>
    <n v="0.64452554744525548"/>
  </r>
  <r>
    <x v="5"/>
    <n v="0.63185358674778802"/>
    <n v="36602"/>
    <s v="RAMBLEWOOD ELEMENTARY SCHOOL"/>
    <m/>
    <m/>
    <n v="533"/>
    <n v="821"/>
    <m/>
    <m/>
    <n v="533"/>
    <n v="0.64920828258221686"/>
  </r>
  <r>
    <x v="5"/>
    <n v="0.63185358674778802"/>
    <n v="36604"/>
    <s v="RAMBLEWOOD MIDDLE SCHOOL"/>
    <m/>
    <m/>
    <n v="667"/>
    <n v="1177"/>
    <m/>
    <m/>
    <n v="667"/>
    <n v="0.56669498725573497"/>
  </r>
  <r>
    <x v="5"/>
    <n v="0.63185358674778802"/>
    <n v="36580"/>
    <s v="RIVERGLADES ELEMENTARY SCHOOL"/>
    <m/>
    <m/>
    <n v="114"/>
    <n v="669"/>
    <m/>
    <m/>
    <n v="114"/>
    <n v="0.17040358744394618"/>
  </r>
  <r>
    <x v="5"/>
    <n v="0.63185358674778802"/>
    <n v="37139"/>
    <s v="RIVERLAND ELEMENTARY SCHOOL"/>
    <m/>
    <m/>
    <n v="608"/>
    <n v="636"/>
    <m/>
    <m/>
    <n v="608"/>
    <n v="0.95597484276729561"/>
  </r>
  <r>
    <x v="5"/>
    <n v="0.63185358674778802"/>
    <n v="36607"/>
    <s v="RIVERSIDE ELEMENTARY SCHOOL"/>
    <m/>
    <m/>
    <n v="297"/>
    <n v="775"/>
    <m/>
    <m/>
    <n v="297"/>
    <n v="0.38322580645161292"/>
  </r>
  <r>
    <x v="5"/>
    <n v="0.63185358674778802"/>
    <n v="16022177"/>
    <s v="Rock Island Development Center"/>
    <m/>
    <m/>
    <m/>
    <s v="0"/>
    <m/>
    <m/>
    <n v="0"/>
    <n v="0"/>
  </r>
  <r>
    <x v="5"/>
    <n v="0.63185358674778802"/>
    <n v="37113"/>
    <s v="ROCK ISLAND ELEMENTARY SCHOOL"/>
    <m/>
    <m/>
    <n v="514"/>
    <n v="525"/>
    <m/>
    <m/>
    <n v="514"/>
    <n v="0.97904761904761906"/>
  </r>
  <r>
    <x v="5"/>
    <n v="0.63185358674778802"/>
    <n v="37151"/>
    <s v="ROYAL PALM ELEMENTARY SCHOOL"/>
    <m/>
    <m/>
    <n v="824"/>
    <n v="849"/>
    <m/>
    <m/>
    <n v="824"/>
    <n v="0.97055359246171968"/>
  </r>
  <r>
    <x v="5"/>
    <n v="0.63185358674778802"/>
    <n v="36524"/>
    <s v="SANDERS PARK ELEMENTARY SCHOOL"/>
    <m/>
    <m/>
    <n v="463"/>
    <n v="481"/>
    <m/>
    <m/>
    <n v="463"/>
    <n v="0.96257796257796258"/>
  </r>
  <r>
    <x v="5"/>
    <n v="0.63185358674778802"/>
    <n v="37256"/>
    <s v="SANDPIPER ELEMENTARY SCHOOL"/>
    <m/>
    <m/>
    <n v="369"/>
    <n v="552"/>
    <m/>
    <m/>
    <n v="369"/>
    <n v="0.66847826086956519"/>
  </r>
  <r>
    <x v="5"/>
    <n v="0.63185358674778802"/>
    <n v="37211"/>
    <s v="SAWGRASS ELEMENTARY SCHOOL"/>
    <m/>
    <m/>
    <n v="533"/>
    <n v="1026"/>
    <m/>
    <m/>
    <n v="533"/>
    <n v="0.51949317738791423"/>
  </r>
  <r>
    <x v="5"/>
    <n v="0.63185358674778802"/>
    <n v="36576"/>
    <s v="SAWGRASS SPRINGS MIDDLE SCHOOL"/>
    <m/>
    <m/>
    <n v="622"/>
    <n v="1158"/>
    <m/>
    <m/>
    <n v="622"/>
    <n v="0.53713298791018993"/>
  </r>
  <r>
    <x v="5"/>
    <n v="0.63185358674778802"/>
    <n v="36428"/>
    <s v="SEA CASTLE ELEMENTARY SCHOOL"/>
    <m/>
    <m/>
    <n v="726"/>
    <n v="863"/>
    <m/>
    <m/>
    <n v="726"/>
    <n v="0.84125144843568944"/>
  </r>
  <r>
    <x v="5"/>
    <n v="0.63185358674778802"/>
    <n v="37178"/>
    <s v="SEAGULL SCHOOL"/>
    <m/>
    <m/>
    <n v="266"/>
    <n v="317"/>
    <m/>
    <m/>
    <n v="266"/>
    <n v="0.83911671924290221"/>
  </r>
  <r>
    <x v="5"/>
    <n v="0.63185358674778802"/>
    <n v="37186"/>
    <s v="SEMINOLE MIDDLE SCHOOL"/>
    <m/>
    <m/>
    <n v="649"/>
    <n v="1165"/>
    <m/>
    <m/>
    <n v="649"/>
    <n v="0.55708154506437768"/>
  </r>
  <r>
    <x v="5"/>
    <n v="0.63185358674778802"/>
    <n v="36377"/>
    <s v="SHERIDAN HILLS ELEMENTARY SCHOOL"/>
    <m/>
    <m/>
    <n v="433"/>
    <n v="536"/>
    <m/>
    <m/>
    <n v="433"/>
    <n v="0.80783582089552242"/>
  </r>
  <r>
    <x v="5"/>
    <n v="0.63185358674778802"/>
    <n v="36411"/>
    <s v="SHERIDAN PARK ELEMENTARY SCHOOL"/>
    <m/>
    <m/>
    <n v="509"/>
    <n v="680"/>
    <m/>
    <m/>
    <n v="509"/>
    <n v="0.74852941176470589"/>
  </r>
  <r>
    <x v="5"/>
    <n v="0.63185358674778802"/>
    <n v="36376"/>
    <s v="SHERIDAN TECHNICAL COLLEGE"/>
    <m/>
    <m/>
    <n v="195"/>
    <n v="322"/>
    <m/>
    <m/>
    <n v="195"/>
    <n v="0.60559006211180122"/>
  </r>
  <r>
    <x v="5"/>
    <n v="0.63185358674778802"/>
    <n v="207878"/>
    <s v="SILVER LAKES ELEMENTARY SCHOOL"/>
    <m/>
    <m/>
    <n v="254"/>
    <n v="472"/>
    <m/>
    <m/>
    <n v="254"/>
    <n v="0.53813559322033899"/>
  </r>
  <r>
    <x v="5"/>
    <n v="0.63185358674778802"/>
    <n v="36586"/>
    <s v="SILVER LAKES MIDDLE SCHOOL"/>
    <m/>
    <m/>
    <n v="603"/>
    <n v="681"/>
    <m/>
    <m/>
    <n v="603"/>
    <n v="0.88546255506607929"/>
  </r>
  <r>
    <x v="5"/>
    <n v="0.63185358674778802"/>
    <n v="36434"/>
    <s v="SILVER PALMS ELEMENTARY SCHOOL"/>
    <m/>
    <m/>
    <n v="238"/>
    <n v="598"/>
    <m/>
    <m/>
    <n v="238"/>
    <n v="0.39799331103678931"/>
  </r>
  <r>
    <x v="5"/>
    <n v="0.63185358674778802"/>
    <n v="37235"/>
    <s v="SILVER RIDGE ELEMENTARY SCHOOL"/>
    <m/>
    <m/>
    <n v="416"/>
    <n v="1109"/>
    <m/>
    <m/>
    <n v="416"/>
    <n v="0.37511271415689812"/>
  </r>
  <r>
    <x v="5"/>
    <n v="0.63185358674778802"/>
    <n v="227246"/>
    <s v="SILVER SHORES ELEMENTARY SCHOOL"/>
    <m/>
    <m/>
    <n v="232"/>
    <n v="506"/>
    <m/>
    <m/>
    <n v="232"/>
    <n v="0.45849802371541504"/>
  </r>
  <r>
    <x v="5"/>
    <n v="0.63185358674778802"/>
    <n v="37240"/>
    <s v="SILVER TRAIL MIDDLE SCHOOL"/>
    <m/>
    <m/>
    <n v="477"/>
    <n v="1460"/>
    <m/>
    <m/>
    <n v="477"/>
    <n v="0.32671232876712331"/>
  </r>
  <r>
    <x v="5"/>
    <n v="0.63185358674778802"/>
    <n v="16045309"/>
    <s v="South Area Admin at Pines Annex"/>
    <m/>
    <m/>
    <m/>
    <s v="0"/>
    <m/>
    <m/>
    <n v="0"/>
    <n v="0"/>
  </r>
  <r>
    <x v="5"/>
    <n v="0.63185358674778802"/>
    <n v="16022182"/>
    <s v="South Area Transportation"/>
    <m/>
    <m/>
    <m/>
    <s v="0"/>
    <m/>
    <m/>
    <n v="0"/>
    <n v="0"/>
  </r>
  <r>
    <x v="5"/>
    <n v="0.63185358674778802"/>
    <n v="36359"/>
    <s v="SOUTH BROWARD HIGH SCHOOL"/>
    <m/>
    <m/>
    <n v="1461"/>
    <n v="2108"/>
    <m/>
    <m/>
    <n v="1461"/>
    <n v="0.69307400379506645"/>
  </r>
  <r>
    <x v="5"/>
    <n v="0.63185358674778802"/>
    <n v="37189"/>
    <s v="SOUTH PLANTATION HIGH SCHOOL"/>
    <m/>
    <m/>
    <n v="1516"/>
    <n v="2347"/>
    <m/>
    <m/>
    <n v="1516"/>
    <n v="0.64593097571367708"/>
  </r>
  <r>
    <x v="5"/>
    <n v="0.63185358674778802"/>
    <n v="37142"/>
    <s v="STEPHEN FOSTER ELEMENTARY SCHOOL"/>
    <m/>
    <m/>
    <n v="526"/>
    <n v="656"/>
    <m/>
    <m/>
    <n v="526"/>
    <n v="0.80182926829268297"/>
  </r>
  <r>
    <x v="5"/>
    <n v="0.63185358674778802"/>
    <n v="36374"/>
    <s v="STIRLING ELEMENTARY SCHOOL"/>
    <m/>
    <m/>
    <n v="464"/>
    <n v="602"/>
    <m/>
    <m/>
    <n v="464"/>
    <n v="0.77076411960132896"/>
  </r>
  <r>
    <x v="5"/>
    <n v="0.63185358674778802"/>
    <n v="37144"/>
    <s v="STRANAHAN HIGH SCHOOL"/>
    <m/>
    <m/>
    <n v="1164"/>
    <n v="1407"/>
    <m/>
    <m/>
    <n v="1164"/>
    <n v="0.8272921108742004"/>
  </r>
  <r>
    <x v="5"/>
    <n v="0.63185358674778802"/>
    <n v="37125"/>
    <s v="SUNLAND PARK ACADEMY"/>
    <m/>
    <m/>
    <n v="479"/>
    <n v="493"/>
    <m/>
    <m/>
    <n v="479"/>
    <n v="0.97160243407707914"/>
  </r>
  <r>
    <x v="5"/>
    <n v="0.63185358674778802"/>
    <n v="37086"/>
    <s v="SUNRISE MIDDLE SCHOOL"/>
    <m/>
    <m/>
    <n v="895"/>
    <n v="1244"/>
    <m/>
    <m/>
    <n v="895"/>
    <n v="0.71945337620578775"/>
  </r>
  <r>
    <x v="5"/>
    <n v="0.63185358674778802"/>
    <n v="227244"/>
    <s v="SUNSET LAKES ELEMENTARY SCHOOL"/>
    <m/>
    <m/>
    <n v="283"/>
    <n v="797"/>
    <m/>
    <m/>
    <n v="283"/>
    <n v="0.35508155583437895"/>
  </r>
  <r>
    <x v="5"/>
    <n v="0.63185358674778802"/>
    <n v="36391"/>
    <s v="SUNSHINE ELEMENTARY SCHOOL"/>
    <m/>
    <m/>
    <n v="548"/>
    <n v="628"/>
    <m/>
    <m/>
    <n v="548"/>
    <n v="0.87261146496815289"/>
  </r>
  <r>
    <x v="5"/>
    <n v="0.63185358674778802"/>
    <n v="224993"/>
    <s v="Talent Development (HRD)"/>
    <m/>
    <m/>
    <m/>
    <s v="0"/>
    <m/>
    <m/>
    <n v="0"/>
    <n v="0"/>
  </r>
  <r>
    <x v="5"/>
    <n v="0.63185358674778802"/>
    <n v="37197"/>
    <s v="TAMARAC ELEMENTARY SCHOOL"/>
    <m/>
    <m/>
    <n v="648"/>
    <n v="871"/>
    <m/>
    <m/>
    <n v="648"/>
    <n v="0.74397244546498276"/>
  </r>
  <r>
    <x v="5"/>
    <n v="0.63185358674778802"/>
    <n v="224984"/>
    <s v="Technology and Support Service Center"/>
    <m/>
    <m/>
    <m/>
    <s v="0"/>
    <m/>
    <m/>
    <n v="0"/>
    <n v="0"/>
  </r>
  <r>
    <x v="5"/>
    <n v="0.63185358674778802"/>
    <n v="36551"/>
    <s v="TEDDER ELEMENTARY SCHOOL"/>
    <m/>
    <m/>
    <n v="658"/>
    <n v="694"/>
    <m/>
    <m/>
    <n v="658"/>
    <n v="0.94812680115273773"/>
  </r>
  <r>
    <x v="5"/>
    <n v="0.63185358674778802"/>
    <n v="37223"/>
    <s v="TEQUESTA TRACE MIDDLE SCHOOL"/>
    <m/>
    <m/>
    <n v="449"/>
    <n v="1470"/>
    <m/>
    <m/>
    <n v="449"/>
    <n v="0.30544217687074832"/>
  </r>
  <r>
    <x v="5"/>
    <n v="0.63185358674778802"/>
    <n v="36409"/>
    <s v="THE QUEST CENTER"/>
    <m/>
    <m/>
    <n v="73"/>
    <n v="121"/>
    <m/>
    <m/>
    <n v="73"/>
    <n v="0.60330578512396693"/>
  </r>
  <r>
    <x v="5"/>
    <n v="0.63185358674778802"/>
    <n v="168258"/>
    <s v="THURGOOD MARSHALL ELEMENTARY SCHOOL"/>
    <m/>
    <m/>
    <n v="458"/>
    <n v="470"/>
    <m/>
    <m/>
    <n v="458"/>
    <n v="0.97446808510638294"/>
  </r>
  <r>
    <x v="5"/>
    <n v="0.63185358674778802"/>
    <n v="16022178"/>
    <s v="Title One ESEA"/>
    <m/>
    <m/>
    <m/>
    <s v="0"/>
    <m/>
    <m/>
    <n v="0"/>
    <n v="0"/>
  </r>
  <r>
    <x v="5"/>
    <n v="0.63185358674778802"/>
    <n v="36608"/>
    <s v="TRADEWINDS ELEMENTARY SCHOOL"/>
    <m/>
    <m/>
    <n v="711"/>
    <n v="1328"/>
    <m/>
    <m/>
    <n v="711"/>
    <n v="0.53539156626506024"/>
  </r>
  <r>
    <x v="5"/>
    <n v="0.63185358674778802"/>
    <n v="16079031"/>
    <s v="Transportation Services Training Center"/>
    <m/>
    <m/>
    <m/>
    <s v="0"/>
    <m/>
    <m/>
    <n v="0"/>
    <n v="0"/>
  </r>
  <r>
    <x v="5"/>
    <n v="0.63185358674778802"/>
    <n v="37188"/>
    <s v="TROPICAL ELEMENTARY SCHOOL"/>
    <m/>
    <m/>
    <n v="446"/>
    <n v="915"/>
    <m/>
    <m/>
    <n v="446"/>
    <n v="0.48743169398907105"/>
  </r>
  <r>
    <x v="5"/>
    <n v="0.63185358674778802"/>
    <n v="234623"/>
    <s v="TSSC Annex"/>
    <m/>
    <m/>
    <m/>
    <s v="0"/>
    <m/>
    <m/>
    <n v="0"/>
    <n v="0"/>
  </r>
  <r>
    <x v="5"/>
    <n v="0.63185358674778802"/>
    <n v="16022183"/>
    <s v="Twin Lakes Administration Center"/>
    <m/>
    <m/>
    <m/>
    <s v="0"/>
    <m/>
    <m/>
    <n v="0"/>
    <n v="0"/>
  </r>
  <r>
    <x v="5"/>
    <n v="0.63185358674778802"/>
    <n v="16022184"/>
    <s v="Twin Lakes East (District Maintenance)"/>
    <m/>
    <m/>
    <m/>
    <s v="0"/>
    <m/>
    <m/>
    <n v="0"/>
    <n v="0"/>
  </r>
  <r>
    <x v="5"/>
    <n v="0.63185358674778802"/>
    <n v="16022185"/>
    <s v="Twin Lakes West"/>
    <m/>
    <m/>
    <m/>
    <s v="0"/>
    <m/>
    <m/>
    <n v="0"/>
    <n v="0"/>
  </r>
  <r>
    <x v="5"/>
    <n v="0.63185358674778802"/>
    <n v="37150"/>
    <s v="VILLAGE ELEMENTARY SCHOOL"/>
    <m/>
    <m/>
    <n v="791"/>
    <n v="832"/>
    <m/>
    <m/>
    <n v="791"/>
    <n v="0.95072115384615385"/>
  </r>
  <r>
    <x v="5"/>
    <n v="0.63185358674778802"/>
    <n v="37081"/>
    <s v="VIRGINIA SHUMAN YOUNG ELEMENTARY SCHOOL"/>
    <m/>
    <m/>
    <n v="219"/>
    <n v="723"/>
    <m/>
    <m/>
    <n v="219"/>
    <n v="0.30290456431535268"/>
  </r>
  <r>
    <x v="5"/>
    <n v="0.63185358674778802"/>
    <n v="37133"/>
    <s v="WALKER ELEMENTARY SCHOOL (MAGNET)"/>
    <m/>
    <m/>
    <n v="625"/>
    <n v="641"/>
    <m/>
    <m/>
    <n v="625"/>
    <n v="0.9750390015600624"/>
  </r>
  <r>
    <x v="5"/>
    <n v="0.63185358674778802"/>
    <n v="36433"/>
    <s v="WALTER C. YOUNG MIDDLE SCHOOL"/>
    <m/>
    <m/>
    <n v="554"/>
    <n v="1084"/>
    <m/>
    <m/>
    <n v="554"/>
    <n v="0.51107011070110697"/>
  </r>
  <r>
    <x v="5"/>
    <n v="0.63185358674778802"/>
    <n v="36397"/>
    <s v="WATKINS ELEMENTARY SCHOOL"/>
    <m/>
    <m/>
    <n v="639"/>
    <n v="673"/>
    <m/>
    <m/>
    <n v="639"/>
    <n v="0.94947994056463592"/>
  </r>
  <r>
    <x v="5"/>
    <n v="0.63185358674778802"/>
    <n v="37255"/>
    <s v="WELLEBY ELEMENTARY SCHOOL"/>
    <m/>
    <m/>
    <n v="526"/>
    <n v="744"/>
    <m/>
    <m/>
    <n v="526"/>
    <n v="0.706989247311828"/>
  </r>
  <r>
    <x v="5"/>
    <n v="0.63185358674778802"/>
    <n v="16047299"/>
    <s v="WEST BROWARD HIGH SCHOOL"/>
    <m/>
    <m/>
    <n v="789"/>
    <n v="2699"/>
    <m/>
    <m/>
    <n v="789"/>
    <n v="0.29233049277510187"/>
  </r>
  <r>
    <x v="5"/>
    <n v="0.63185358674778802"/>
    <n v="36420"/>
    <s v="WEST HOLLYWOOD ELEMENTARY SCHOOL"/>
    <m/>
    <m/>
    <n v="567"/>
    <n v="602"/>
    <m/>
    <m/>
    <n v="567"/>
    <n v="0.94186046511627908"/>
  </r>
  <r>
    <x v="5"/>
    <n v="0.63185358674778802"/>
    <n v="36569"/>
    <s v="WESTCHESTER ELEMENTARY SCHOOL"/>
    <m/>
    <m/>
    <n v="590"/>
    <n v="1215"/>
    <m/>
    <m/>
    <n v="590"/>
    <n v="0.48559670781893005"/>
  </r>
  <r>
    <x v="5"/>
    <n v="0.63185358674778802"/>
    <n v="37219"/>
    <s v="WESTERN HIGH SCHOOL"/>
    <m/>
    <m/>
    <n v="1261"/>
    <n v="3117"/>
    <m/>
    <m/>
    <n v="1261"/>
    <n v="0.40455566249598973"/>
  </r>
  <r>
    <x v="5"/>
    <n v="0.63185358674778802"/>
    <n v="227252"/>
    <s v="WESTGLADES MIDDLE SCHOOL"/>
    <m/>
    <m/>
    <n v="220"/>
    <n v="1584"/>
    <m/>
    <m/>
    <n v="220"/>
    <n v="0.1388888888888889"/>
  </r>
  <r>
    <x v="5"/>
    <n v="0.63185358674778802"/>
    <n v="37250"/>
    <s v="WESTPINE MIDDLE SCHOOL"/>
    <m/>
    <m/>
    <n v="705"/>
    <n v="952"/>
    <m/>
    <m/>
    <n v="705"/>
    <n v="0.74054621848739499"/>
  </r>
  <r>
    <x v="5"/>
    <n v="0.63185358674778802"/>
    <n v="37138"/>
    <s v="WESTWOOD HEIGHTS ELEMENTARY SCHOOL"/>
    <m/>
    <m/>
    <n v="564"/>
    <n v="580"/>
    <m/>
    <m/>
    <n v="564"/>
    <n v="0.97241379310344822"/>
  </r>
  <r>
    <x v="5"/>
    <n v="0.63185358674778802"/>
    <n v="37180"/>
    <s v="WHIDDON RODGERS EDUCATION CENTER"/>
    <m/>
    <m/>
    <n v="843"/>
    <n v="1328"/>
    <m/>
    <m/>
    <n v="843"/>
    <n v="0.63478915662650603"/>
  </r>
  <r>
    <x v="5"/>
    <n v="0.63185358674778802"/>
    <n v="36426"/>
    <s v="WHISPERING PINES SCHOOL"/>
    <m/>
    <m/>
    <n v="103"/>
    <n v="133"/>
    <m/>
    <m/>
    <n v="103"/>
    <n v="0.77443609022556392"/>
  </r>
  <r>
    <x v="5"/>
    <n v="0.63185358674778802"/>
    <n v="37114"/>
    <s v="WILLIAM DANDY MIDDLE SCHOOL"/>
    <m/>
    <m/>
    <n v="811"/>
    <n v="880"/>
    <m/>
    <m/>
    <n v="811"/>
    <n v="0.92159090909090913"/>
  </r>
  <r>
    <x v="5"/>
    <n v="0.63185358674778802"/>
    <n v="37193"/>
    <s v="WILLIAM T. MCFATTER TECHNICAL COLLEGE"/>
    <m/>
    <m/>
    <n v="275"/>
    <n v="603"/>
    <m/>
    <m/>
    <n v="275"/>
    <n v="0.45605306799336648"/>
  </r>
  <r>
    <x v="5"/>
    <n v="0.63185358674778802"/>
    <n v="37089"/>
    <s v="WILTON MANORS ELEMENTARY SCHOOL"/>
    <m/>
    <m/>
    <n v="476"/>
    <n v="608"/>
    <m/>
    <m/>
    <n v="476"/>
    <n v="0.78289473684210531"/>
  </r>
  <r>
    <x v="5"/>
    <n v="0.63185358674778802"/>
    <n v="37119"/>
    <s v="WINGATE OAKS CENTER"/>
    <m/>
    <m/>
    <n v="37"/>
    <n v="53"/>
    <m/>
    <m/>
    <n v="37"/>
    <n v="0.69811320754716977"/>
  </r>
  <r>
    <x v="5"/>
    <n v="0.63185358674778802"/>
    <n v="36609"/>
    <s v="WINSTON PARK ELEMENTARY SCHOOL"/>
    <m/>
    <m/>
    <n v="659"/>
    <n v="1211"/>
    <m/>
    <m/>
    <n v="659"/>
    <n v="0.54417836498761352"/>
  </r>
  <r>
    <x v="5"/>
    <n v="0.63185358674778802"/>
    <n v="36596"/>
    <s v="Drew Resource Center"/>
    <m/>
    <m/>
    <n v="211"/>
    <n v="225"/>
    <m/>
    <m/>
    <n v="211"/>
    <n v="0.93777777777777782"/>
  </r>
  <r>
    <x v="5"/>
    <n v="0.63185358674778802"/>
    <n v="232470"/>
    <s v="Park Lakes Annex"/>
    <m/>
    <m/>
    <m/>
    <n v="0"/>
    <m/>
    <m/>
    <n v="0"/>
    <n v="0"/>
  </r>
  <r>
    <x v="5"/>
    <n v="0.63185358674778802"/>
    <n v="16065071"/>
    <s v="Hallandale OCLC"/>
    <m/>
    <m/>
    <m/>
    <n v="0"/>
    <m/>
    <m/>
    <n v="0"/>
    <n v="0"/>
  </r>
  <r>
    <x v="5"/>
    <n v="0.63185358674778802"/>
    <n v="16075722"/>
    <s v="Atlantic Tech High at Ashe Center"/>
    <m/>
    <m/>
    <m/>
    <n v="0"/>
    <m/>
    <m/>
    <n v="0"/>
    <n v="0"/>
  </r>
  <r>
    <x v="5"/>
    <n v="0.63185358674778802"/>
    <n v="16082449"/>
    <s v="Sheridan Tech High at Sunsent Center"/>
    <m/>
    <m/>
    <m/>
    <n v="0"/>
    <m/>
    <m/>
    <n v="0"/>
    <n v="0"/>
  </r>
  <r>
    <x v="5"/>
    <n v="0.63185358674778802"/>
    <n v="16082450"/>
    <s v="Sheridan Tech High West"/>
    <m/>
    <m/>
    <m/>
    <n v="0"/>
    <m/>
    <m/>
    <n v="0"/>
    <n v="0"/>
  </r>
  <r>
    <x v="6"/>
    <n v="0.86165660754888584"/>
    <n v="35412"/>
    <s v="ALTHA PUBLIC SCHOOL"/>
    <m/>
    <m/>
    <m/>
    <n v="609"/>
    <n v="2015"/>
    <n v="0.57550000000000001"/>
    <n v="560.7672"/>
    <n v="0.92079999999999995"/>
  </r>
  <r>
    <x v="6"/>
    <n v="0.86165660754888584"/>
    <n v="35414"/>
    <s v="BLOUNTSTOWN ELEMENTARY SCHOOL"/>
    <m/>
    <m/>
    <m/>
    <n v="617"/>
    <n v="2015"/>
    <n v="0.6351"/>
    <n v="617"/>
    <n v="1"/>
  </r>
  <r>
    <x v="6"/>
    <n v="0.86165660754888584"/>
    <n v="35416"/>
    <s v="BLOUNTSTOWN HIGH SCHOOL"/>
    <m/>
    <m/>
    <n v="261"/>
    <n v="423"/>
    <m/>
    <m/>
    <n v="261"/>
    <n v="0.61702127659574468"/>
  </r>
  <r>
    <x v="6"/>
    <n v="0.86165660754888584"/>
    <n v="35417"/>
    <s v="BLOUNTSTOWN MIDDLE SCHOOL"/>
    <m/>
    <m/>
    <m/>
    <n v="259"/>
    <n v="2015"/>
    <n v="0.45689999999999997"/>
    <n v="189.33936"/>
    <n v="0.73104000000000002"/>
  </r>
  <r>
    <x v="6"/>
    <n v="0.86165660754888584"/>
    <n v="16083457"/>
    <s v="CALHOUN VIRTUAL  INSTRUCTION PROGRAM (DISTRICT PROVIDED)"/>
    <m/>
    <m/>
    <n v="20"/>
    <n v="30"/>
    <m/>
    <m/>
    <n v="20"/>
    <n v="0.66666666666666663"/>
  </r>
  <r>
    <x v="6"/>
    <n v="0.86165660754888584"/>
    <n v="16083460"/>
    <s v="CALHOUN VIRTUAL INSTRUCTION PROGRAM"/>
    <m/>
    <m/>
    <m/>
    <s v="*"/>
    <m/>
    <m/>
    <n v="0"/>
    <n v="0"/>
  </r>
  <r>
    <x v="6"/>
    <n v="0.86165660754888584"/>
    <n v="35427"/>
    <s v="CARR ELEMENTARY &amp; MIDDLE SCHOOL"/>
    <m/>
    <m/>
    <m/>
    <n v="261"/>
    <n v="2015"/>
    <n v="0.5907"/>
    <n v="246.67632000000003"/>
    <n v="0.94512000000000007"/>
  </r>
  <r>
    <x v="7"/>
    <n v="0.65461410469729941"/>
    <n v="222476"/>
    <s v="AMI KIDS CROSSROADS"/>
    <m/>
    <m/>
    <n v="21"/>
    <n v="21"/>
    <m/>
    <m/>
    <n v="21"/>
    <n v="1"/>
  </r>
  <r>
    <x v="7"/>
    <n v="0.65461410469729941"/>
    <n v="38303"/>
    <s v="BAKER/HEAD START"/>
    <m/>
    <m/>
    <n v="161"/>
    <n v="165"/>
    <m/>
    <m/>
    <n v="161"/>
    <n v="0.97575757575757571"/>
  </r>
  <r>
    <x v="7"/>
    <n v="0.65461410469729941"/>
    <n v="38322"/>
    <s v="CHARLOTTE HARBOR SCHOOL"/>
    <m/>
    <m/>
    <n v="110"/>
    <n v="139"/>
    <m/>
    <m/>
    <n v="110"/>
    <n v="0.79136690647482011"/>
  </r>
  <r>
    <x v="7"/>
    <n v="0.65461410469729941"/>
    <n v="38308"/>
    <s v="CHARLOTTE HIGH SCHOOL"/>
    <m/>
    <m/>
    <n v="1040"/>
    <n v="1916"/>
    <m/>
    <m/>
    <n v="1040"/>
    <n v="0.54279749478079331"/>
  </r>
  <r>
    <x v="7"/>
    <n v="0.65461410469729941"/>
    <n v="38300"/>
    <s v="CHARLOTTE TECHNICAL CENTER"/>
    <m/>
    <m/>
    <n v="274"/>
    <n v="376"/>
    <m/>
    <m/>
    <n v="274"/>
    <n v="0.72872340425531912"/>
  </r>
  <r>
    <x v="7"/>
    <n v="0.65461410469729941"/>
    <n v="38328"/>
    <s v="DEEP CREEK ELEMENTARY SCHOOL"/>
    <m/>
    <m/>
    <n v="444"/>
    <n v="686"/>
    <m/>
    <m/>
    <n v="444"/>
    <n v="0.64723032069970843"/>
  </r>
  <r>
    <x v="7"/>
    <n v="0.65461410469729941"/>
    <n v="38327"/>
    <s v="EAST ELEMENTARY SCHOOL"/>
    <m/>
    <m/>
    <n v="509"/>
    <n v="719"/>
    <m/>
    <m/>
    <n v="509"/>
    <n v="0.70792767732962447"/>
  </r>
  <r>
    <x v="7"/>
    <n v="0.65461410469729941"/>
    <n v="215071"/>
    <s v="KINGSWAY ELEMENTARY SCHOOL"/>
    <m/>
    <m/>
    <n v="431"/>
    <n v="645"/>
    <m/>
    <m/>
    <n v="431"/>
    <n v="0.66821705426356592"/>
  </r>
  <r>
    <x v="7"/>
    <n v="0.65461410469729941"/>
    <n v="38295"/>
    <s v="L. A. AINGER MIDDLE SCHOOL"/>
    <m/>
    <m/>
    <n v="378"/>
    <n v="673"/>
    <m/>
    <m/>
    <n v="378"/>
    <n v="0.56166419019316494"/>
  </r>
  <r>
    <x v="7"/>
    <n v="0.65461410469729941"/>
    <n v="38447"/>
    <s v="LEMON BAY HIGH SCHOOL"/>
    <m/>
    <m/>
    <n v="594"/>
    <n v="1234"/>
    <m/>
    <m/>
    <n v="594"/>
    <n v="0.48136142625607781"/>
  </r>
  <r>
    <x v="7"/>
    <n v="0.65461410469729941"/>
    <n v="38314"/>
    <s v="LIBERTY ELEMENTARY SCHOOL"/>
    <m/>
    <m/>
    <n v="494"/>
    <n v="603"/>
    <m/>
    <m/>
    <n v="494"/>
    <n v="0.8192371475953566"/>
  </r>
  <r>
    <x v="7"/>
    <n v="0.65461410469729941"/>
    <n v="38302"/>
    <s v="MEADOW PARK ELEMENTARY SCHOOL"/>
    <m/>
    <m/>
    <n v="549"/>
    <n v="750"/>
    <m/>
    <m/>
    <n v="549"/>
    <n v="0.73199999999999998"/>
  </r>
  <r>
    <x v="7"/>
    <n v="0.65461410469729941"/>
    <n v="38298"/>
    <s v="MURDOCK MIDDLE SCHOOL"/>
    <m/>
    <m/>
    <n v="527"/>
    <n v="770"/>
    <m/>
    <m/>
    <n v="527"/>
    <n v="0.68441558441558437"/>
  </r>
  <r>
    <x v="7"/>
    <n v="0.65461410469729941"/>
    <n v="38326"/>
    <s v="MYAKKA RIVER ELEMENTARY SCHOOL"/>
    <m/>
    <m/>
    <n v="370"/>
    <n v="550"/>
    <m/>
    <m/>
    <n v="370"/>
    <n v="0.67272727272727273"/>
  </r>
  <r>
    <x v="7"/>
    <n v="0.65461410469729941"/>
    <n v="38311"/>
    <s v="NEIL ARMSTRONG ELEMENTARY SCHOOL"/>
    <m/>
    <m/>
    <n v="626"/>
    <n v="804"/>
    <m/>
    <m/>
    <n v="626"/>
    <n v="0.77860696517412931"/>
  </r>
  <r>
    <x v="7"/>
    <n v="0.65461410469729941"/>
    <n v="38323"/>
    <s v="PEACE RIVER ELEMENTARY SCHOOL"/>
    <m/>
    <m/>
    <n v="614"/>
    <n v="706"/>
    <m/>
    <m/>
    <n v="614"/>
    <n v="0.86968838526912184"/>
  </r>
  <r>
    <x v="7"/>
    <n v="0.65461410469729941"/>
    <n v="38299"/>
    <s v="PORT CHARLOTTE HIGH SCHOOL"/>
    <m/>
    <m/>
    <n v="1059"/>
    <n v="1626"/>
    <m/>
    <m/>
    <n v="1059"/>
    <n v="0.6512915129151291"/>
  </r>
  <r>
    <x v="7"/>
    <n v="0.65461410469729941"/>
    <n v="38309"/>
    <s v="PORT CHARLOTTE MIDDLE SCHOOL"/>
    <m/>
    <m/>
    <n v="634"/>
    <n v="851"/>
    <m/>
    <m/>
    <n v="634"/>
    <n v="0.74500587544065799"/>
  </r>
  <r>
    <x v="7"/>
    <n v="0.65461410469729941"/>
    <n v="38304"/>
    <s v="PUNTA GORDA MIDDLE SCHOOL"/>
    <m/>
    <m/>
    <n v="677"/>
    <n v="1165"/>
    <m/>
    <m/>
    <n v="677"/>
    <n v="0.58111587982832613"/>
  </r>
  <r>
    <x v="7"/>
    <n v="0.65461410469729941"/>
    <n v="38307"/>
    <s v="SALLIE JONES ELEMENTARY SCHOOL"/>
    <m/>
    <m/>
    <n v="368"/>
    <n v="621"/>
    <m/>
    <m/>
    <n v="368"/>
    <n v="0.59259259259259256"/>
  </r>
  <r>
    <x v="7"/>
    <n v="0.65461410469729941"/>
    <n v="38294"/>
    <s v="VINELAND ELEMENTARY SCHOOL"/>
    <m/>
    <m/>
    <n v="349"/>
    <n v="606"/>
    <m/>
    <m/>
    <n v="349"/>
    <n v="0.57590759075907594"/>
  </r>
  <r>
    <x v="8"/>
    <n v="0.66710875331564989"/>
    <n v="210112"/>
    <s v="ACADEMY OF ENVIRON. SCIENCES"/>
    <m/>
    <m/>
    <n v="28"/>
    <n v="92"/>
    <m/>
    <m/>
    <n v="28"/>
    <n v="0.30434782608695654"/>
  </r>
  <r>
    <x v="8"/>
    <n v="0.66710875331564989"/>
    <n v="16053057"/>
    <s v="CENTRAL RIDGE ELEMENTARY SCHOOL"/>
    <m/>
    <m/>
    <n v="481"/>
    <n v="723"/>
    <m/>
    <m/>
    <n v="481"/>
    <n v="0.66528354080221297"/>
  </r>
  <r>
    <x v="8"/>
    <n v="0.66710875331564989"/>
    <n v="215111"/>
    <s v="CITRUS COUNTY RENAISSANCE CENTER"/>
    <m/>
    <m/>
    <n v="79"/>
    <n v="96"/>
    <m/>
    <m/>
    <n v="79"/>
    <n v="0.82291666666666663"/>
  </r>
  <r>
    <x v="8"/>
    <n v="0.66710875331564989"/>
    <n v="38549"/>
    <s v="CITRUS HIGH SCHOOL"/>
    <m/>
    <m/>
    <n v="857"/>
    <n v="1516"/>
    <m/>
    <m/>
    <n v="857"/>
    <n v="0.56530343007915562"/>
  </r>
  <r>
    <x v="8"/>
    <n v="0.66710875331564989"/>
    <n v="38535"/>
    <s v="CITRUS SPRINGS ELEMENTARY SCHOOL"/>
    <m/>
    <m/>
    <n v="554"/>
    <n v="746"/>
    <m/>
    <m/>
    <n v="554"/>
    <n v="0.74262734584450407"/>
  </r>
  <r>
    <x v="8"/>
    <n v="0.66710875331564989"/>
    <n v="38536"/>
    <s v="CITRUS SPRINGS MIDDLE SCHOOL"/>
    <m/>
    <m/>
    <n v="524"/>
    <n v="812"/>
    <m/>
    <m/>
    <n v="524"/>
    <n v="0.64532019704433496"/>
  </r>
  <r>
    <x v="8"/>
    <n v="0.66710875331564989"/>
    <n v="38551"/>
    <s v="CREST SCHOOL"/>
    <m/>
    <m/>
    <n v="93"/>
    <n v="124"/>
    <m/>
    <m/>
    <n v="93"/>
    <n v="0.75"/>
  </r>
  <r>
    <x v="8"/>
    <n v="0.66710875331564989"/>
    <n v="38524"/>
    <s v="CRYSTAL RIVER HIGH SCHOOL"/>
    <m/>
    <m/>
    <n v="808"/>
    <n v="1384"/>
    <m/>
    <m/>
    <n v="808"/>
    <n v="0.58381502890173409"/>
  </r>
  <r>
    <x v="8"/>
    <n v="0.66710875331564989"/>
    <n v="38526"/>
    <s v="CRYSTAL RIVER MIDDLE SCHOOL"/>
    <m/>
    <m/>
    <n v="529"/>
    <n v="749"/>
    <m/>
    <m/>
    <n v="529"/>
    <n v="0.70627503337783715"/>
  </r>
  <r>
    <x v="8"/>
    <n v="0.66710875331564989"/>
    <n v="38527"/>
    <s v="CRYSTAL RIVER PRIMARY SCHOOL"/>
    <m/>
    <m/>
    <n v="502"/>
    <n v="617"/>
    <m/>
    <m/>
    <n v="502"/>
    <n v="0.81361426256077796"/>
  </r>
  <r>
    <x v="8"/>
    <n v="0.66710875331564989"/>
    <n v="38537"/>
    <s v="FLORAL CITY ELEMENTARY SCHOOL"/>
    <m/>
    <m/>
    <n v="264"/>
    <n v="323"/>
    <m/>
    <m/>
    <n v="264"/>
    <n v="0.8173374613003096"/>
  </r>
  <r>
    <x v="8"/>
    <n v="0.66710875331564989"/>
    <n v="223794"/>
    <s v="FOREST RIDGE ELEMENTARY SCHOOL"/>
    <m/>
    <m/>
    <n v="556"/>
    <n v="723"/>
    <m/>
    <m/>
    <n v="556"/>
    <n v="0.76901798063623794"/>
  </r>
  <r>
    <x v="8"/>
    <n v="0.66710875331564989"/>
    <n v="38541"/>
    <s v="HERNANDO ELEMENTARY SCHOOL"/>
    <m/>
    <m/>
    <n v="514"/>
    <n v="708"/>
    <m/>
    <m/>
    <n v="514"/>
    <n v="0.72598870056497178"/>
  </r>
  <r>
    <x v="8"/>
    <n v="0.66710875331564989"/>
    <n v="38600"/>
    <s v="HOMOSASSA ELEMENTARY SCHOOL"/>
    <m/>
    <m/>
    <n v="270"/>
    <n v="335"/>
    <m/>
    <m/>
    <n v="270"/>
    <n v="0.80597014925373134"/>
  </r>
  <r>
    <x v="8"/>
    <n v="0.66710875331564989"/>
    <n v="38545"/>
    <s v="INVERNESS MIDDLE SCHOOL"/>
    <m/>
    <m/>
    <n v="664"/>
    <n v="1023"/>
    <m/>
    <m/>
    <n v="664"/>
    <n v="0.64907135874877808"/>
  </r>
  <r>
    <x v="8"/>
    <n v="0.66710875331564989"/>
    <n v="38548"/>
    <s v="INVERNESS PRIMARY SCHOOL"/>
    <m/>
    <m/>
    <n v="465"/>
    <n v="662"/>
    <m/>
    <m/>
    <n v="465"/>
    <n v="0.702416918429003"/>
  </r>
  <r>
    <x v="8"/>
    <n v="0.66710875331564989"/>
    <n v="38554"/>
    <s v="LECANTO HIGH SCHOOL"/>
    <m/>
    <m/>
    <n v="839"/>
    <n v="1567"/>
    <m/>
    <m/>
    <n v="839"/>
    <n v="0.53541799617102748"/>
  </r>
  <r>
    <x v="8"/>
    <n v="0.66710875331564989"/>
    <n v="38555"/>
    <s v="LECANTO MIDDLE SCHOOL"/>
    <m/>
    <m/>
    <n v="480"/>
    <n v="738"/>
    <m/>
    <m/>
    <n v="480"/>
    <n v="0.65040650406504064"/>
  </r>
  <r>
    <x v="8"/>
    <n v="0.66710875331564989"/>
    <n v="38556"/>
    <s v="LECANTO PRIMARY SCHOOL"/>
    <m/>
    <m/>
    <n v="549"/>
    <n v="772"/>
    <m/>
    <m/>
    <n v="549"/>
    <n v="0.71113989637305697"/>
  </r>
  <r>
    <x v="8"/>
    <n v="0.66710875331564989"/>
    <n v="38550"/>
    <s v="PLEASANT GROVE ELEMENTARY SCHOOL"/>
    <m/>
    <m/>
    <n v="551"/>
    <n v="755"/>
    <m/>
    <m/>
    <n v="551"/>
    <n v="0.72980132450331126"/>
  </r>
  <r>
    <x v="8"/>
    <n v="0.66710875331564989"/>
    <n v="38543"/>
    <s v="ROCK CRUSHER ELEMENTARY SCHOOL"/>
    <m/>
    <m/>
    <n v="453"/>
    <n v="615"/>
    <m/>
    <m/>
    <n v="453"/>
    <n v="0.73658536585365852"/>
  </r>
  <r>
    <x v="8"/>
    <n v="0.66710875331564989"/>
    <n v="38546"/>
    <s v="WITHLACOOCHEE TECHNICAL COLLEGE"/>
    <m/>
    <m/>
    <m/>
    <n v="0"/>
    <m/>
    <m/>
    <n v="0"/>
    <n v="0"/>
  </r>
  <r>
    <x v="9"/>
    <n v="0.45828027241016556"/>
    <n v="16025501"/>
    <s v="ARGYLE ELEMENTARY SCHOOL"/>
    <m/>
    <m/>
    <n v="257"/>
    <n v="601"/>
    <m/>
    <m/>
    <n v="257"/>
    <n v="0.42762063227953412"/>
  </r>
  <r>
    <x v="9"/>
    <n v="0.45828027241016556"/>
    <n v="34768"/>
    <s v="CHARLES E. BENNETT ELEMENTARY SCHOOL"/>
    <m/>
    <m/>
    <m/>
    <n v="834"/>
    <n v="2015"/>
    <n v="0.62759999999999994"/>
    <n v="834"/>
    <n v="1"/>
  </r>
  <r>
    <x v="9"/>
    <n v="0.45828027241016556"/>
    <n v="34829"/>
    <s v="CLAY COUNTY CENTER FOR ADULT &amp; COMMUNITY EDUCATION"/>
    <m/>
    <m/>
    <m/>
    <n v="0"/>
    <m/>
    <m/>
    <n v="0"/>
    <n v="0"/>
  </r>
  <r>
    <x v="9"/>
    <n v="0.45828027241016556"/>
    <n v="34771"/>
    <s v="CLAY HIGH SCHOOL"/>
    <m/>
    <m/>
    <n v="539"/>
    <n v="1441"/>
    <m/>
    <m/>
    <n v="539"/>
    <n v="0.37404580152671757"/>
  </r>
  <r>
    <x v="9"/>
    <n v="0.45828027241016556"/>
    <n v="35168"/>
    <s v="CLAY HILL ELEMENTARY SCHOOL"/>
    <m/>
    <m/>
    <m/>
    <n v="427"/>
    <n v="2015"/>
    <n v="0.62759999999999994"/>
    <n v="427"/>
    <n v="1"/>
  </r>
  <r>
    <x v="9"/>
    <n v="0.45828027241016556"/>
    <n v="16083732"/>
    <s v="CLAY VIRTUAL ACADEMY"/>
    <m/>
    <m/>
    <m/>
    <n v="0"/>
    <m/>
    <m/>
    <n v="0"/>
    <n v="0"/>
  </r>
  <r>
    <x v="9"/>
    <n v="0.45828027241016556"/>
    <n v="16082742"/>
    <s v="CLAY VIRTUAL FRANCHISE"/>
    <m/>
    <m/>
    <n v="11"/>
    <n v="240"/>
    <m/>
    <m/>
    <n v="11"/>
    <n v="4.583333333333333E-2"/>
  </r>
  <r>
    <x v="9"/>
    <n v="0.45828027241016556"/>
    <n v="16083734"/>
    <s v="CLAY VIRTUAL INSTRUCTION PROGRAM"/>
    <m/>
    <m/>
    <m/>
    <s v="*"/>
    <m/>
    <m/>
    <n v="0"/>
    <n v="0"/>
  </r>
  <r>
    <x v="9"/>
    <n v="0.45828027241016556"/>
    <n v="16042812"/>
    <s v="COPPERGATE ELEMENTARY SCHOOL"/>
    <m/>
    <m/>
    <n v="289"/>
    <n v="489"/>
    <m/>
    <m/>
    <n v="289"/>
    <n v="0.59100204498977504"/>
  </r>
  <r>
    <x v="9"/>
    <n v="0.45828027241016556"/>
    <n v="34816"/>
    <s v="DOCTORS INLET ELEMENTARY SCHOOL"/>
    <m/>
    <m/>
    <n v="402"/>
    <n v="732"/>
    <m/>
    <m/>
    <n v="402"/>
    <n v="0.54918032786885251"/>
  </r>
  <r>
    <x v="9"/>
    <n v="0.45828027241016556"/>
    <n v="34841"/>
    <s v="FLEMING ISLAND ELEMENTARY SCHOOL"/>
    <m/>
    <m/>
    <n v="130"/>
    <n v="762"/>
    <m/>
    <m/>
    <n v="130"/>
    <n v="0.17060367454068243"/>
  </r>
  <r>
    <x v="9"/>
    <n v="0.45828027241016556"/>
    <n v="233861"/>
    <s v="FLEMING ISLAND HIGH SCHOOL"/>
    <m/>
    <m/>
    <n v="373"/>
    <n v="2232"/>
    <m/>
    <m/>
    <n v="373"/>
    <n v="0.1671146953405018"/>
  </r>
  <r>
    <x v="9"/>
    <n v="0.45828027241016556"/>
    <n v="16082743"/>
    <s v="FLORIDA VIRTUAL ACADEMY AT CLAY"/>
    <m/>
    <m/>
    <n v="7"/>
    <n v="21"/>
    <m/>
    <m/>
    <n v="7"/>
    <n v="0.33333333333333331"/>
  </r>
  <r>
    <x v="9"/>
    <n v="0.45828027241016556"/>
    <n v="226926"/>
    <s v="FLORIDA YOUTH CHALLENGE ACADEMY"/>
    <m/>
    <m/>
    <m/>
    <n v="39"/>
    <m/>
    <m/>
    <n v="0"/>
    <n v="0"/>
  </r>
  <r>
    <x v="9"/>
    <n v="0.45828027241016556"/>
    <n v="34770"/>
    <s v="GREEN COVE SPRINGS JUNIOR HIGH SCHOOL"/>
    <m/>
    <m/>
    <n v="264"/>
    <n v="772"/>
    <m/>
    <m/>
    <n v="264"/>
    <n v="0.34196891191709844"/>
  </r>
  <r>
    <x v="9"/>
    <n v="0.45828027241016556"/>
    <n v="34832"/>
    <s v="GROVE PARK ELEMENTARY SCHOOL"/>
    <m/>
    <m/>
    <m/>
    <n v="438"/>
    <n v="2015"/>
    <n v="0.62759999999999994"/>
    <n v="438"/>
    <n v="1"/>
  </r>
  <r>
    <x v="9"/>
    <n v="0.45828027241016556"/>
    <n v="34818"/>
    <s v="J.L. WILKINSON ELEMENTARY SCHOOL"/>
    <m/>
    <m/>
    <m/>
    <n v="727"/>
    <n v="2015"/>
    <n v="0.62759999999999994"/>
    <n v="727"/>
    <n v="1"/>
  </r>
  <r>
    <x v="9"/>
    <n v="0.45828027241016556"/>
    <n v="35760"/>
    <s v="KEYSTONE HEIGHTS ELEMENTARY"/>
    <m/>
    <m/>
    <n v="533"/>
    <n v="860"/>
    <m/>
    <m/>
    <n v="533"/>
    <n v="0.61976744186046506"/>
  </r>
  <r>
    <x v="9"/>
    <n v="0.45828027241016556"/>
    <n v="35758"/>
    <s v="KEYSTONE HEIGHTS JUNIOR/SENIOR HIGH"/>
    <m/>
    <m/>
    <n v="598"/>
    <n v="1192"/>
    <m/>
    <m/>
    <n v="598"/>
    <n v="0.50167785234899331"/>
  </r>
  <r>
    <x v="9"/>
    <n v="0.45828027241016556"/>
    <n v="34772"/>
    <s v="LAKE ASBURY ELEMENTARY SCHOOL"/>
    <m/>
    <m/>
    <n v="297"/>
    <n v="829"/>
    <m/>
    <m/>
    <n v="297"/>
    <n v="0.35826296743063935"/>
  </r>
  <r>
    <x v="9"/>
    <n v="0.45828027241016556"/>
    <n v="16025500"/>
    <s v="LAKE ASBURY JUNIOR HIGH SCHOOL"/>
    <m/>
    <m/>
    <n v="417"/>
    <n v="1089"/>
    <m/>
    <m/>
    <n v="417"/>
    <n v="0.38292011019283745"/>
  </r>
  <r>
    <x v="9"/>
    <n v="0.45828027241016556"/>
    <n v="34837"/>
    <s v="LAKESIDE ELEMENTARY SCHOOL"/>
    <m/>
    <m/>
    <n v="442"/>
    <n v="796"/>
    <m/>
    <m/>
    <n v="442"/>
    <n v="0.55527638190954776"/>
  </r>
  <r>
    <x v="9"/>
    <n v="0.45828027241016556"/>
    <n v="34838"/>
    <s v="LAKESIDE JUNIOR HIGH SCHOOL"/>
    <m/>
    <m/>
    <n v="296"/>
    <n v="895"/>
    <m/>
    <m/>
    <n v="296"/>
    <n v="0.33072625698324021"/>
  </r>
  <r>
    <x v="9"/>
    <n v="0.45828027241016556"/>
    <n v="198706"/>
    <s v="MCRAE ELEMENTARY SCHOOL"/>
    <m/>
    <m/>
    <n v="341"/>
    <n v="483"/>
    <m/>
    <m/>
    <n v="341"/>
    <n v="0.70600414078674945"/>
  </r>
  <r>
    <x v="9"/>
    <n v="0.45828027241016556"/>
    <n v="34823"/>
    <s v="MIDDLEBURG ELEMENTARY SCHOOL"/>
    <m/>
    <m/>
    <n v="407"/>
    <n v="587"/>
    <m/>
    <m/>
    <n v="407"/>
    <n v="0.69335604770017034"/>
  </r>
  <r>
    <x v="9"/>
    <n v="0.45828027241016556"/>
    <n v="34817"/>
    <s v="MIDDLEBURG HIGH SCHOOL"/>
    <m/>
    <m/>
    <n v="791"/>
    <n v="1716"/>
    <m/>
    <m/>
    <n v="791"/>
    <n v="0.46095571095571097"/>
  </r>
  <r>
    <x v="9"/>
    <n v="0.45828027241016556"/>
    <n v="34839"/>
    <s v="MONTCLAIR ELEMENTARY SCHOOL"/>
    <m/>
    <m/>
    <n v="293"/>
    <n v="498"/>
    <m/>
    <m/>
    <n v="293"/>
    <n v="0.58835341365461846"/>
  </r>
  <r>
    <x v="9"/>
    <n v="0.45828027241016556"/>
    <n v="16057206"/>
    <s v="OAKLEAF HIGH SCHOOL"/>
    <m/>
    <m/>
    <n v="691"/>
    <n v="2331"/>
    <m/>
    <m/>
    <n v="691"/>
    <n v="0.29643929643929645"/>
  </r>
  <r>
    <x v="9"/>
    <n v="0.45828027241016556"/>
    <n v="16036286"/>
    <s v="OAKLEAF JUNIOR HIGH"/>
    <m/>
    <m/>
    <n v="448"/>
    <n v="1483"/>
    <m/>
    <m/>
    <n v="448"/>
    <n v="0.30209035738368173"/>
  </r>
  <r>
    <x v="9"/>
    <n v="0.45828027241016556"/>
    <n v="16046351"/>
    <s v="OAKLEAF VILLAGE ELEMENTARY SCHOOL"/>
    <m/>
    <m/>
    <n v="308"/>
    <n v="909"/>
    <m/>
    <m/>
    <n v="308"/>
    <n v="0.33883388338833881"/>
  </r>
  <r>
    <x v="9"/>
    <n v="0.45828027241016556"/>
    <n v="34828"/>
    <s v="ORANGE PARK ELEMENTARY SCHOOL"/>
    <m/>
    <m/>
    <n v="114"/>
    <n v="481"/>
    <m/>
    <m/>
    <n v="114"/>
    <n v="0.23700623700623702"/>
  </r>
  <r>
    <x v="9"/>
    <n v="0.45828027241016556"/>
    <n v="34833"/>
    <s v="ORANGE PARK HIGH SCHOOL"/>
    <m/>
    <m/>
    <n v="746"/>
    <n v="1578"/>
    <m/>
    <m/>
    <n v="746"/>
    <n v="0.47275031685678076"/>
  </r>
  <r>
    <x v="9"/>
    <n v="0.45828027241016556"/>
    <n v="34830"/>
    <s v="ORANGE PARK JUNIOR HIGH SCHOOL"/>
    <m/>
    <m/>
    <n v="373"/>
    <n v="636"/>
    <m/>
    <m/>
    <n v="373"/>
    <n v="0.58647798742138368"/>
  </r>
  <r>
    <x v="9"/>
    <n v="0.45828027241016556"/>
    <n v="34831"/>
    <s v="ORANGE PARK PERFORMING ARTS ACADEMY (OPPAA)"/>
    <m/>
    <m/>
    <n v="19"/>
    <n v="238"/>
    <m/>
    <m/>
    <n v="19"/>
    <n v="7.9831932773109238E-2"/>
  </r>
  <r>
    <x v="9"/>
    <n v="0.45828027241016556"/>
    <n v="16051345"/>
    <s v="PLANTATION OAKS ELEMENTARY SCHOOL"/>
    <m/>
    <m/>
    <n v="369"/>
    <n v="1254"/>
    <m/>
    <m/>
    <n v="369"/>
    <n v="0.29425837320574161"/>
  </r>
  <r>
    <x v="9"/>
    <n v="0.45828027241016556"/>
    <n v="34769"/>
    <s v="R. C. BANNERMAN LEARNING CENTER"/>
    <m/>
    <m/>
    <n v="117"/>
    <n v="150"/>
    <m/>
    <m/>
    <n v="117"/>
    <n v="0.78"/>
  </r>
  <r>
    <x v="9"/>
    <n v="0.45828027241016556"/>
    <n v="224886"/>
    <s v="RIDEOUT ELEMENTARY SCHOOL"/>
    <m/>
    <m/>
    <n v="208"/>
    <n v="460"/>
    <m/>
    <m/>
    <n v="208"/>
    <n v="0.45217391304347826"/>
  </r>
  <r>
    <x v="9"/>
    <n v="0.45828027241016556"/>
    <n v="34809"/>
    <s v="RIDGEVIEW ELEMENTARY SCHOOL"/>
    <m/>
    <m/>
    <n v="357"/>
    <n v="561"/>
    <m/>
    <m/>
    <n v="357"/>
    <n v="0.63636363636363635"/>
  </r>
  <r>
    <x v="9"/>
    <n v="0.45828027241016556"/>
    <n v="34810"/>
    <s v="RIDGEVIEW HIGH SCHOOL"/>
    <m/>
    <m/>
    <n v="640"/>
    <n v="1629"/>
    <m/>
    <m/>
    <n v="640"/>
    <n v="0.39287906691221608"/>
  </r>
  <r>
    <x v="9"/>
    <n v="0.45828027241016556"/>
    <n v="34844"/>
    <s v="ROBERT M. PATERSON ELEMENTARY"/>
    <m/>
    <m/>
    <n v="317"/>
    <n v="933"/>
    <m/>
    <m/>
    <n v="317"/>
    <n v="0.33976420150053588"/>
  </r>
  <r>
    <x v="9"/>
    <n v="0.45828027241016556"/>
    <n v="34826"/>
    <s v="S BRYAN JENNINGS ELEMENTARY SCHOOL"/>
    <m/>
    <m/>
    <m/>
    <n v="487"/>
    <n v="2015"/>
    <n v="0.62759999999999994"/>
    <n v="487"/>
    <n v="1"/>
  </r>
  <r>
    <x v="9"/>
    <n v="0.45828027241016556"/>
    <n v="16046353"/>
    <s v="SHADOWLAWN ELEMENTARY SCHOOL"/>
    <m/>
    <m/>
    <n v="306"/>
    <n v="705"/>
    <m/>
    <m/>
    <n v="306"/>
    <n v="0.43404255319148938"/>
  </r>
  <r>
    <x v="9"/>
    <n v="0.45828027241016556"/>
    <n v="15093712"/>
    <s v="SWIMMING PEN CREEK ELEMENTARY SCHOOL"/>
    <m/>
    <m/>
    <n v="215"/>
    <n v="378"/>
    <m/>
    <m/>
    <n v="215"/>
    <n v="0.56878306878306883"/>
  </r>
  <r>
    <x v="9"/>
    <n v="0.45828027241016556"/>
    <n v="224885"/>
    <s v="THUNDERBOLT ELEMENTARY SCHOOL"/>
    <m/>
    <m/>
    <n v="255"/>
    <n v="974"/>
    <m/>
    <m/>
    <n v="255"/>
    <n v="0.26180698151950721"/>
  </r>
  <r>
    <x v="9"/>
    <n v="0.45828027241016556"/>
    <n v="34821"/>
    <s v="TYNES ELEMENTARY SCHOOL"/>
    <m/>
    <m/>
    <n v="408"/>
    <n v="869"/>
    <m/>
    <m/>
    <n v="408"/>
    <n v="0.46950517836593786"/>
  </r>
  <r>
    <x v="9"/>
    <n v="0.45828027241016556"/>
    <n v="34827"/>
    <s v="W E CHERRY ELEMENTARY SCHOOL"/>
    <m/>
    <m/>
    <m/>
    <n v="625"/>
    <n v="2015"/>
    <n v="0.62759999999999994"/>
    <n v="625"/>
    <n v="1"/>
  </r>
  <r>
    <x v="9"/>
    <n v="0.45828027241016556"/>
    <n v="34820"/>
    <s v="WILKINSON JUNIOR HIGH SCHOOL"/>
    <m/>
    <m/>
    <n v="438"/>
    <n v="741"/>
    <m/>
    <m/>
    <n v="438"/>
    <n v="0.59109311740890691"/>
  </r>
  <r>
    <x v="10"/>
    <n v="0.6301097610551516"/>
    <n v="38356"/>
    <s v="AVALON ELEMENTARY SCHOOL"/>
    <m/>
    <m/>
    <n v="521"/>
    <n v="555"/>
    <m/>
    <m/>
    <n v="521"/>
    <n v="0.9387387387387387"/>
  </r>
  <r>
    <x v="10"/>
    <n v="0.6301097610551516"/>
    <n v="38353"/>
    <s v="BARRON COLLIER HIGH SCHOOL"/>
    <m/>
    <m/>
    <n v="506"/>
    <n v="1699"/>
    <m/>
    <m/>
    <n v="506"/>
    <n v="0.29782224838140081"/>
  </r>
  <r>
    <x v="10"/>
    <n v="0.6301097610551516"/>
    <n v="16068318"/>
    <s v="BEACON HIGH SCHOOL"/>
    <m/>
    <m/>
    <n v="287"/>
    <n v="383"/>
    <m/>
    <m/>
    <n v="287"/>
    <n v="0.74934725848563966"/>
  </r>
  <r>
    <x v="10"/>
    <n v="0.6301097610551516"/>
    <n v="38374"/>
    <s v="BIG CYPRESS ELEMENTARY SCHOOL"/>
    <m/>
    <m/>
    <n v="493"/>
    <n v="851"/>
    <m/>
    <m/>
    <n v="493"/>
    <n v="0.57931844888366624"/>
  </r>
  <r>
    <x v="10"/>
    <n v="0.6301097610551516"/>
    <n v="228990"/>
    <s v="CALUSA PARK ELEMENTARY SCHOOL"/>
    <m/>
    <m/>
    <n v="577"/>
    <n v="843"/>
    <m/>
    <m/>
    <n v="577"/>
    <n v="0.68446026097271651"/>
  </r>
  <r>
    <x v="10"/>
    <n v="0.6301097610551516"/>
    <n v="38373"/>
    <s v="CORKSCREW ELEMENTARY SCHOOL"/>
    <m/>
    <m/>
    <n v="277"/>
    <n v="643"/>
    <m/>
    <m/>
    <n v="277"/>
    <n v="0.4307931570762053"/>
  </r>
  <r>
    <x v="10"/>
    <n v="0.6301097610551516"/>
    <n v="228284"/>
    <s v="CORKSCREW MIDDLE SCHOOL"/>
    <m/>
    <m/>
    <n v="375"/>
    <n v="731"/>
    <m/>
    <m/>
    <n v="375"/>
    <n v="0.51299589603283169"/>
  </r>
  <r>
    <x v="10"/>
    <n v="0.6301097610551516"/>
    <n v="16049340"/>
    <s v="CYPRESS PALM MIDDLE SCHOOL"/>
    <m/>
    <m/>
    <n v="483"/>
    <n v="747"/>
    <m/>
    <m/>
    <n v="483"/>
    <n v="0.64658634538152615"/>
  </r>
  <r>
    <x v="10"/>
    <n v="0.6301097610551516"/>
    <n v="38346"/>
    <s v="EAST NAPLES MIDDLE SCHOOL"/>
    <m/>
    <m/>
    <n v="846"/>
    <n v="1103"/>
    <m/>
    <m/>
    <n v="846"/>
    <n v="0.76699909338168626"/>
  </r>
  <r>
    <x v="10"/>
    <n v="0.6301097610551516"/>
    <n v="16049336"/>
    <s v="EDEN PARK ELEMENTARY SCHOOL"/>
    <m/>
    <m/>
    <n v="716"/>
    <n v="720"/>
    <m/>
    <m/>
    <n v="716"/>
    <n v="0.99444444444444446"/>
  </r>
  <r>
    <x v="10"/>
    <n v="0.6301097610551516"/>
    <n v="16027057"/>
    <s v="ESTATES ELEMENTARY SCHOOL"/>
    <m/>
    <m/>
    <n v="386"/>
    <n v="550"/>
    <m/>
    <m/>
    <n v="386"/>
    <n v="0.70181818181818179"/>
  </r>
  <r>
    <x v="10"/>
    <n v="0.6301097610551516"/>
    <n v="38379"/>
    <s v="EVERGLADES CITY SCHOOL"/>
    <m/>
    <m/>
    <n v="130"/>
    <n v="206"/>
    <m/>
    <m/>
    <n v="130"/>
    <n v="0.6310679611650486"/>
  </r>
  <r>
    <x v="10"/>
    <n v="0.6301097610551516"/>
    <n v="38363"/>
    <s v="GOLDEN GATE ELEMENTARY SCHOOL"/>
    <m/>
    <m/>
    <n v="918"/>
    <n v="961"/>
    <m/>
    <m/>
    <n v="918"/>
    <n v="0.95525494276795009"/>
  </r>
  <r>
    <x v="10"/>
    <n v="0.6301097610551516"/>
    <n v="16027056"/>
    <s v="GOLDEN GATE HIGH SCHOOL"/>
    <m/>
    <m/>
    <n v="1240"/>
    <n v="1649"/>
    <m/>
    <m/>
    <n v="1240"/>
    <n v="0.75197089144936324"/>
  </r>
  <r>
    <x v="10"/>
    <n v="0.6301097610551516"/>
    <n v="38367"/>
    <s v="GOLDEN GATE MIDDLE SCHOOL"/>
    <m/>
    <m/>
    <n v="1002"/>
    <n v="1094"/>
    <m/>
    <m/>
    <n v="1002"/>
    <n v="0.91590493601462519"/>
  </r>
  <r>
    <x v="10"/>
    <n v="0.6301097610551516"/>
    <n v="38368"/>
    <s v="GOLDEN TERRACE ELEMENTARY SCHOOL"/>
    <m/>
    <m/>
    <n v="960"/>
    <n v="1051"/>
    <m/>
    <m/>
    <n v="960"/>
    <n v="0.91341579448144627"/>
  </r>
  <r>
    <x v="10"/>
    <n v="0.6301097610551516"/>
    <n v="168638"/>
    <s v="GULF COAST HIGH SCHOOL"/>
    <m/>
    <m/>
    <n v="486"/>
    <n v="2134"/>
    <m/>
    <m/>
    <n v="486"/>
    <n v="0.22774133083411435"/>
  </r>
  <r>
    <x v="10"/>
    <n v="0.6301097610551516"/>
    <n v="38340"/>
    <s v="GULFVIEW MIDDLE SCHOOL"/>
    <m/>
    <m/>
    <n v="289"/>
    <n v="677"/>
    <m/>
    <m/>
    <n v="289"/>
    <n v="0.42688330871491875"/>
  </r>
  <r>
    <x v="10"/>
    <n v="0.6301097610551516"/>
    <n v="38381"/>
    <s v="HIGHLANDS ELEMENTARY SCHOOL"/>
    <m/>
    <m/>
    <n v="693"/>
    <n v="724"/>
    <m/>
    <m/>
    <n v="693"/>
    <n v="0.95718232044198892"/>
  </r>
  <r>
    <x v="10"/>
    <n v="0.6301097610551516"/>
    <n v="16052243"/>
    <s v="IMMOKALEE COMMUNITY SCHOOL"/>
    <m/>
    <m/>
    <m/>
    <n v="245"/>
    <m/>
    <m/>
    <n v="0"/>
    <n v="0"/>
  </r>
  <r>
    <x v="10"/>
    <n v="0.6301097610551516"/>
    <n v="38383"/>
    <s v="IMMOKALEE HIGH SCHOOL"/>
    <m/>
    <m/>
    <n v="1448"/>
    <n v="1555"/>
    <m/>
    <m/>
    <n v="1448"/>
    <n v="0.93118971061093248"/>
  </r>
  <r>
    <x v="10"/>
    <n v="0.6301097610551516"/>
    <n v="38382"/>
    <s v="IMMOKALEE MIDDLE SCHOOL"/>
    <m/>
    <m/>
    <n v="1334"/>
    <n v="1385"/>
    <m/>
    <m/>
    <n v="1334"/>
    <n v="0.96317689530685924"/>
  </r>
  <r>
    <x v="10"/>
    <n v="0.6301097610551516"/>
    <n v="179041"/>
    <s v="IMMOKALEE TECHNICAL CENTER"/>
    <m/>
    <m/>
    <m/>
    <n v="0"/>
    <m/>
    <m/>
    <n v="0"/>
    <n v="0"/>
  </r>
  <r>
    <x v="10"/>
    <n v="0.6301097610551516"/>
    <n v="38338"/>
    <s v="LAKE PARK ELEMENTARY SCHOOL"/>
    <m/>
    <m/>
    <n v="219"/>
    <n v="516"/>
    <m/>
    <m/>
    <n v="219"/>
    <n v="0.42441860465116277"/>
  </r>
  <r>
    <x v="10"/>
    <n v="0.6301097610551516"/>
    <n v="38380"/>
    <s v="LAKE TRAFFORD ELEMENTARY SCHOOL"/>
    <m/>
    <m/>
    <n v="702"/>
    <n v="713"/>
    <m/>
    <m/>
    <n v="702"/>
    <n v="0.98457223001402527"/>
  </r>
  <r>
    <x v="10"/>
    <n v="0.6301097610551516"/>
    <n v="38372"/>
    <s v="LAUREL OAK ELEMENTARY SCHOOL"/>
    <m/>
    <m/>
    <n v="170"/>
    <n v="843"/>
    <m/>
    <m/>
    <n v="170"/>
    <n v="0.20166073546856464"/>
  </r>
  <r>
    <x v="10"/>
    <n v="0.6301097610551516"/>
    <n v="38360"/>
    <s v="LELY ELEMENTARY SCHOOL"/>
    <m/>
    <m/>
    <n v="494"/>
    <n v="663"/>
    <m/>
    <m/>
    <n v="494"/>
    <n v="0.74509803921568629"/>
  </r>
  <r>
    <x v="10"/>
    <n v="0.6301097610551516"/>
    <n v="38359"/>
    <s v="LELY HIGH SCHOOL"/>
    <m/>
    <m/>
    <n v="1095"/>
    <n v="1555"/>
    <m/>
    <m/>
    <n v="1095"/>
    <n v="0.70418006430868163"/>
  </r>
  <r>
    <x v="10"/>
    <n v="0.6301097610551516"/>
    <n v="38345"/>
    <s v="LORENZO WALKER INSTITUTE OF TECHNOLOGY"/>
    <m/>
    <m/>
    <m/>
    <n v="0"/>
    <m/>
    <m/>
    <n v="0"/>
    <n v="0"/>
  </r>
  <r>
    <x v="10"/>
    <n v="0.6301097610551516"/>
    <n v="38345"/>
    <s v="LORENZO WALKER TECHNICAL HIGH SCHOOL"/>
    <m/>
    <m/>
    <n v="439"/>
    <n v="599"/>
    <m/>
    <m/>
    <n v="439"/>
    <n v="0.73288814691151916"/>
  </r>
  <r>
    <x v="10"/>
    <n v="0.6301097610551516"/>
    <n v="38361"/>
    <s v="MANATEE ELEMENTARY SCHOOL"/>
    <m/>
    <m/>
    <n v="724"/>
    <n v="774"/>
    <m/>
    <m/>
    <n v="724"/>
    <n v="0.93540051679586567"/>
  </r>
  <r>
    <x v="10"/>
    <n v="0.6301097610551516"/>
    <n v="38362"/>
    <s v="MANATEE MIDDLE SCHOOL"/>
    <m/>
    <m/>
    <n v="814"/>
    <n v="910"/>
    <m/>
    <m/>
    <n v="814"/>
    <n v="0.89450549450549455"/>
  </r>
  <r>
    <x v="10"/>
    <n v="0.6301097610551516"/>
    <n v="212178"/>
    <s v="MARCO ISLAND CHARTER MIDDLE"/>
    <m/>
    <m/>
    <n v="101"/>
    <n v="433"/>
    <m/>
    <m/>
    <n v="101"/>
    <n v="0.23325635103926096"/>
  </r>
  <r>
    <x v="10"/>
    <n v="0.6301097610551516"/>
    <n v="16049341"/>
    <s v="MIKE DAVIS ELEMENTARY SCHOOL"/>
    <m/>
    <m/>
    <n v="697"/>
    <n v="726"/>
    <m/>
    <m/>
    <n v="697"/>
    <n v="0.96005509641873277"/>
  </r>
  <r>
    <x v="10"/>
    <n v="0.6301097610551516"/>
    <n v="177634"/>
    <s v="NAPLES AREA TEENAGE PARENTING"/>
    <m/>
    <m/>
    <n v="43"/>
    <n v="50"/>
    <m/>
    <m/>
    <n v="43"/>
    <n v="0.86"/>
  </r>
  <r>
    <x v="10"/>
    <n v="0.6301097610551516"/>
    <n v="38337"/>
    <s v="NAPLES HIGH SCHOOL"/>
    <m/>
    <m/>
    <n v="708"/>
    <n v="1667"/>
    <m/>
    <m/>
    <n v="708"/>
    <n v="0.42471505698860229"/>
  </r>
  <r>
    <x v="10"/>
    <n v="0.6301097610551516"/>
    <n v="38349"/>
    <s v="NAPLES PARK ELEMENTARY SCHOOL"/>
    <m/>
    <m/>
    <n v="327"/>
    <n v="520"/>
    <m/>
    <m/>
    <n v="327"/>
    <n v="0.62884615384615383"/>
  </r>
  <r>
    <x v="10"/>
    <n v="0.6301097610551516"/>
    <n v="212175"/>
    <s v="NEW BEGINNINGS - NAPLES"/>
    <m/>
    <m/>
    <n v="27"/>
    <n v="29"/>
    <m/>
    <m/>
    <n v="27"/>
    <n v="0.93103448275862066"/>
  </r>
  <r>
    <x v="10"/>
    <n v="0.6301097610551516"/>
    <n v="228989"/>
    <s v="NEW BEGINNINGS IMMOKALEE"/>
    <m/>
    <m/>
    <n v="23"/>
    <n v="25"/>
    <m/>
    <m/>
    <n v="23"/>
    <n v="0.92"/>
  </r>
  <r>
    <x v="10"/>
    <n v="0.6301097610551516"/>
    <n v="16027058"/>
    <s v="NORTH NAPLES MIDDLE SCHOOL"/>
    <m/>
    <m/>
    <n v="267"/>
    <n v="865"/>
    <m/>
    <m/>
    <n v="267"/>
    <n v="0.30867052023121389"/>
  </r>
  <r>
    <x v="10"/>
    <n v="0.6301097610551516"/>
    <n v="38371"/>
    <s v="OAKRIDGE MIDDLE SCHOOL"/>
    <m/>
    <m/>
    <n v="381"/>
    <n v="1094"/>
    <m/>
    <m/>
    <n v="381"/>
    <n v="0.34826325411334552"/>
  </r>
  <r>
    <x v="10"/>
    <n v="0.6301097610551516"/>
    <n v="228992"/>
    <s v="OSCEOLA ELEMENTARY SCHOOL"/>
    <m/>
    <m/>
    <n v="280"/>
    <n v="693"/>
    <m/>
    <m/>
    <n v="280"/>
    <n v="0.40404040404040403"/>
  </r>
  <r>
    <x v="10"/>
    <n v="0.6301097610551516"/>
    <n v="16049337"/>
    <s v="PALMETTO ELEMENTARY SCHOOL"/>
    <m/>
    <m/>
    <n v="367"/>
    <n v="507"/>
    <m/>
    <m/>
    <n v="367"/>
    <n v="0.72386587771203159"/>
  </r>
  <r>
    <x v="10"/>
    <n v="0.6301097610551516"/>
    <n v="16027048"/>
    <s v="PALMETTO RIDGE HIGH SCHOOL"/>
    <m/>
    <m/>
    <n v="932"/>
    <n v="1856"/>
    <m/>
    <m/>
    <n v="932"/>
    <n v="0.50215517241379315"/>
  </r>
  <r>
    <x v="10"/>
    <n v="0.6301097610551516"/>
    <n v="16049338"/>
    <s v="PARKSIDE ELEMENTARY SCHOOL"/>
    <m/>
    <m/>
    <n v="743"/>
    <n v="769"/>
    <m/>
    <m/>
    <n v="743"/>
    <n v="0.96618985695708715"/>
  </r>
  <r>
    <x v="10"/>
    <n v="0.6301097610551516"/>
    <n v="38343"/>
    <s v="PELICAN MARSH ELEMENTARY SCHOOL"/>
    <m/>
    <m/>
    <n v="250"/>
    <n v="780"/>
    <m/>
    <m/>
    <n v="250"/>
    <n v="0.32051282051282054"/>
  </r>
  <r>
    <x v="10"/>
    <n v="0.6301097610551516"/>
    <n v="38352"/>
    <s v="PINE RIDGE MIDDLE SCHOOL"/>
    <m/>
    <m/>
    <n v="415"/>
    <n v="1010"/>
    <m/>
    <m/>
    <n v="415"/>
    <n v="0.41089108910891087"/>
  </r>
  <r>
    <x v="10"/>
    <n v="0.6301097610551516"/>
    <n v="38386"/>
    <s v="PINECREST ELEMENTARY SCHOOL"/>
    <m/>
    <m/>
    <n v="705"/>
    <n v="710"/>
    <m/>
    <m/>
    <n v="705"/>
    <n v="0.99295774647887325"/>
  </r>
  <r>
    <x v="10"/>
    <n v="0.6301097610551516"/>
    <n v="38293"/>
    <s v="POINCIANA ELEMENTARY SCHOOL"/>
    <m/>
    <m/>
    <n v="481"/>
    <n v="667"/>
    <m/>
    <m/>
    <n v="481"/>
    <n v="0.72113943028485761"/>
  </r>
  <r>
    <x v="10"/>
    <n v="0.6301097610551516"/>
    <n v="234276"/>
    <s v="SABAL PALM ELEMENTARY SCHOOL"/>
    <m/>
    <m/>
    <n v="342"/>
    <n v="570"/>
    <m/>
    <m/>
    <n v="342"/>
    <n v="0.6"/>
  </r>
  <r>
    <x v="10"/>
    <n v="0.6301097610551516"/>
    <n v="38342"/>
    <s v="SEA GATE ELEMENTARY SCHOOL"/>
    <m/>
    <m/>
    <n v="265"/>
    <n v="741"/>
    <m/>
    <m/>
    <n v="265"/>
    <n v="0.35762483130904182"/>
  </r>
  <r>
    <x v="10"/>
    <n v="0.6301097610551516"/>
    <n v="38355"/>
    <s v="SHADOWLAWN ELEMENTARY SCHOOL"/>
    <m/>
    <m/>
    <n v="499"/>
    <n v="557"/>
    <m/>
    <m/>
    <n v="499"/>
    <n v="0.89587073608617596"/>
  </r>
  <r>
    <x v="10"/>
    <n v="0.6301097610551516"/>
    <n v="16067024"/>
    <s v="THE PACE PROGRAM"/>
    <m/>
    <m/>
    <m/>
    <n v="62"/>
    <m/>
    <m/>
    <n v="0"/>
    <n v="0"/>
  </r>
  <r>
    <x v="10"/>
    <n v="0.6301097610551516"/>
    <n v="165245"/>
    <s v="THE PHOENIX PROGRAM NAPLES"/>
    <m/>
    <m/>
    <n v="55"/>
    <n v="66"/>
    <m/>
    <m/>
    <n v="55"/>
    <n v="0.83333333333333337"/>
  </r>
  <r>
    <x v="10"/>
    <n v="0.6301097610551516"/>
    <n v="16068320"/>
    <s v="THE PHOENIX PROGRAM-IMMOKALEE"/>
    <m/>
    <m/>
    <n v="26"/>
    <n v="29"/>
    <m/>
    <m/>
    <n v="26"/>
    <n v="0.89655172413793105"/>
  </r>
  <r>
    <x v="10"/>
    <n v="0.6301097610551516"/>
    <n v="38389"/>
    <s v="TOMMIE BARFIELD ELEMENTARY SCHOOL"/>
    <m/>
    <m/>
    <n v="205"/>
    <n v="569"/>
    <m/>
    <m/>
    <n v="205"/>
    <n v="0.36028119507908613"/>
  </r>
  <r>
    <x v="10"/>
    <n v="0.6301097610551516"/>
    <n v="16049339"/>
    <s v="VETERANS MEMORIAL ELEMENTARY SCHOOL"/>
    <m/>
    <m/>
    <n v="306"/>
    <n v="830"/>
    <m/>
    <m/>
    <n v="306"/>
    <n v="0.36867469879518072"/>
  </r>
  <r>
    <x v="10"/>
    <n v="0.6301097610551516"/>
    <n v="38388"/>
    <s v="VILLAGE OAKS ELEMENTARY SCHOOL"/>
    <m/>
    <m/>
    <n v="511"/>
    <n v="529"/>
    <m/>
    <m/>
    <n v="511"/>
    <n v="0.96597353497164462"/>
  </r>
  <r>
    <x v="10"/>
    <n v="0.6301097610551516"/>
    <n v="38370"/>
    <s v="VINEYARDS ELEMENTARY SCHOOL"/>
    <m/>
    <m/>
    <n v="320"/>
    <n v="845"/>
    <m/>
    <m/>
    <n v="320"/>
    <n v="0.378698224852071"/>
  </r>
  <r>
    <x v="11"/>
    <n v="0.82485060787141973"/>
    <n v="34788"/>
    <s v="CHALLENGE LEARNING CENTER"/>
    <m/>
    <m/>
    <m/>
    <n v="101"/>
    <n v="2014"/>
    <n v="78.569999999999993"/>
    <n v="101"/>
    <n v="1"/>
  </r>
  <r>
    <x v="11"/>
    <n v="0.82485060787141973"/>
    <n v="34746"/>
    <s v="COLUMBIA CITY ELEMENTARY SCHOOL"/>
    <m/>
    <m/>
    <m/>
    <n v="632"/>
    <n v="2015"/>
    <n v="64.34"/>
    <n v="632"/>
    <n v="1"/>
  </r>
  <r>
    <x v="11"/>
    <n v="0.82485060787141973"/>
    <n v="16029971"/>
    <s v="COLUMBIA DISTRICT OFFICE"/>
    <m/>
    <m/>
    <m/>
    <n v="0"/>
    <m/>
    <m/>
    <n v="0"/>
    <n v="0"/>
  </r>
  <r>
    <x v="11"/>
    <n v="0.82485060787141973"/>
    <n v="34753"/>
    <s v="COLUMBIA HIGH SCHOOL"/>
    <m/>
    <m/>
    <n v="1037"/>
    <n v="1906"/>
    <m/>
    <m/>
    <n v="1037"/>
    <n v="0.54407135362014691"/>
  </r>
  <r>
    <x v="11"/>
    <n v="0.82485060787141973"/>
    <n v="34748"/>
    <s v="EASTSIDE ELEMENTARY SCHOOL"/>
    <m/>
    <m/>
    <m/>
    <n v="601"/>
    <n v="2015"/>
    <n v="64.34"/>
    <n v="601"/>
    <n v="1"/>
  </r>
  <r>
    <x v="11"/>
    <n v="0.82485060787141973"/>
    <n v="34790"/>
    <s v="FIVE POINTS ELEMENTARY SCHOOL"/>
    <m/>
    <m/>
    <m/>
    <n v="416"/>
    <n v="2015"/>
    <n v="64.34"/>
    <n v="416"/>
    <n v="1"/>
  </r>
  <r>
    <x v="11"/>
    <n v="0.82485060787141973"/>
    <n v="34763"/>
    <s v="FORT WHITE ELEMENTARY SCHOOL"/>
    <m/>
    <m/>
    <m/>
    <n v="679"/>
    <n v="2015"/>
    <n v="64.34"/>
    <n v="679"/>
    <n v="1"/>
  </r>
  <r>
    <x v="11"/>
    <n v="0.82485060787141973"/>
    <n v="204016"/>
    <s v="FORT WHITE HIGH SCHOOL"/>
    <m/>
    <m/>
    <n v="720"/>
    <n v="1131"/>
    <m/>
    <m/>
    <n v="720"/>
    <n v="0.63660477453580899"/>
  </r>
  <r>
    <x v="11"/>
    <n v="0.82485060787141973"/>
    <n v="34752"/>
    <s v="LAKE CITY MIDDLE SCHOOL"/>
    <m/>
    <m/>
    <n v="608"/>
    <n v="1028"/>
    <m/>
    <m/>
    <n v="608"/>
    <n v="0.59143968871595332"/>
  </r>
  <r>
    <x v="11"/>
    <n v="0.82485060787141973"/>
    <n v="34749"/>
    <s v="MELROSE PARK ELEMENTARY SCHOOL"/>
    <m/>
    <m/>
    <m/>
    <n v="467"/>
    <n v="2015"/>
    <n v="64.34"/>
    <n v="467"/>
    <n v="1"/>
  </r>
  <r>
    <x v="11"/>
    <n v="0.82485060787141973"/>
    <n v="34787"/>
    <s v="NIBLACK ELEMENTARY SCHOOL"/>
    <m/>
    <m/>
    <m/>
    <n v="255"/>
    <n v="2015"/>
    <n v="64.34"/>
    <n v="255"/>
    <n v="1"/>
  </r>
  <r>
    <x v="11"/>
    <n v="0.82485060787141973"/>
    <n v="16050085"/>
    <s v="PINEMOUNT ELEMENTARY SCHOOL"/>
    <m/>
    <m/>
    <m/>
    <n v="507"/>
    <n v="2015"/>
    <n v="64.34"/>
    <n v="507"/>
    <n v="1"/>
  </r>
  <r>
    <x v="11"/>
    <n v="0.82485060787141973"/>
    <n v="34750"/>
    <s v="RICHARDSON MIDDLE SCHOOL"/>
    <m/>
    <m/>
    <m/>
    <n v="569"/>
    <n v="2015"/>
    <n v="67.59"/>
    <n v="569"/>
    <n v="1"/>
  </r>
  <r>
    <x v="11"/>
    <n v="0.82485060787141973"/>
    <n v="34751"/>
    <s v="SUMMERS ELEMENTARY SCHOOL"/>
    <m/>
    <m/>
    <m/>
    <n v="664"/>
    <n v="2015"/>
    <n v="64.34"/>
    <n v="664"/>
    <n v="1"/>
  </r>
  <r>
    <x v="11"/>
    <n v="0.82485060787141973"/>
    <n v="221829"/>
    <s v="WESTSIDE ELEMENTARY SCHOOL"/>
    <m/>
    <m/>
    <m/>
    <n v="750"/>
    <n v="2015"/>
    <n v="64.34"/>
    <n v="750"/>
    <n v="1"/>
  </r>
  <r>
    <x v="12"/>
    <n v="0.76143103246416566"/>
    <n v="36454"/>
    <s v="AIR BASE K-8 CENTER FOR INTERNATIONAL EDUCATION"/>
    <m/>
    <m/>
    <n v="656"/>
    <n v="1052"/>
    <m/>
    <m/>
    <n v="656"/>
    <n v="0.62357414448669202"/>
  </r>
  <r>
    <x v="12"/>
    <n v="0.76143103246416566"/>
    <n v="227184"/>
    <s v="EUGENIA B. THOMAS K-8 CENTER"/>
    <m/>
    <m/>
    <n v="689"/>
    <n v="1709"/>
    <m/>
    <m/>
    <n v="689"/>
    <n v="0.40315974253949677"/>
  </r>
  <r>
    <x v="12"/>
    <n v="0.76143103246416566"/>
    <n v="16036321"/>
    <s v="MANDARIN LAKES K-8 ACADEMY"/>
    <m/>
    <m/>
    <n v="952"/>
    <n v="1028"/>
    <m/>
    <m/>
    <n v="952"/>
    <n v="0.92607003891050588"/>
  </r>
  <r>
    <x v="12"/>
    <n v="0.76143103246416566"/>
    <n v="36633"/>
    <s v="LENORA BRAYNON SMITH ELEMENTARY"/>
    <m/>
    <m/>
    <n v="398"/>
    <n v="407"/>
    <m/>
    <m/>
    <n v="398"/>
    <n v="0.97788697788697787"/>
  </r>
  <r>
    <x v="12"/>
    <n v="0.76143103246416566"/>
    <n v="231493"/>
    <s v="BOB GRAHAM EDUCATION CENTER"/>
    <m/>
    <m/>
    <n v="981"/>
    <n v="1773"/>
    <m/>
    <m/>
    <n v="981"/>
    <n v="0.5532994923857868"/>
  </r>
  <r>
    <x v="12"/>
    <n v="0.76143103246416566"/>
    <n v="16049158"/>
    <s v="NORMAN S. EDELCUP/SUNNY ISLES BEACH K-8"/>
    <m/>
    <m/>
    <n v="953"/>
    <n v="2136"/>
    <m/>
    <m/>
    <n v="953"/>
    <n v="0.44616104868913858"/>
  </r>
  <r>
    <x v="12"/>
    <n v="0.76143103246416566"/>
    <n v="36813"/>
    <s v="ARCOLA LAKE ELEMENTARY SCHOOL"/>
    <m/>
    <m/>
    <n v="522"/>
    <n v="546"/>
    <m/>
    <m/>
    <n v="522"/>
    <n v="0.95604395604395609"/>
  </r>
  <r>
    <x v="12"/>
    <n v="0.76143103246416566"/>
    <n v="36755"/>
    <s v="MAYA ANGELOU ELEMENTARY SCHOOL"/>
    <m/>
    <m/>
    <n v="754"/>
    <n v="759"/>
    <m/>
    <m/>
    <n v="754"/>
    <n v="0.99341238471673254"/>
  </r>
  <r>
    <x v="12"/>
    <n v="0.76143103246416566"/>
    <n v="36682"/>
    <s v="AUBURNDALE ELEMENTARY SCHOOL"/>
    <m/>
    <m/>
    <n v="792"/>
    <n v="880"/>
    <m/>
    <m/>
    <n v="792"/>
    <n v="0.9"/>
  </r>
  <r>
    <x v="12"/>
    <n v="0.76143103246416566"/>
    <n v="16049160"/>
    <s v="DR. ROLANDO ESPINOSA K-8 CENTER"/>
    <m/>
    <m/>
    <n v="663"/>
    <s v="  "/>
    <m/>
    <m/>
    <n v="663"/>
    <e v="#VALUE!"/>
  </r>
  <r>
    <x v="12"/>
    <n v="0.76143103246416566"/>
    <n v="16036316"/>
    <s v="NORMA BUTLER BOSSARD ELEMENTARY SCHOOL"/>
    <m/>
    <m/>
    <n v="792"/>
    <n v="1180"/>
    <m/>
    <m/>
    <n v="792"/>
    <n v="0.67118644067796607"/>
  </r>
  <r>
    <x v="12"/>
    <n v="0.76143103246416566"/>
    <n v="36438"/>
    <s v="AVOCADO ELEMENTARY SCHOOL"/>
    <m/>
    <m/>
    <n v="386"/>
    <n v="417"/>
    <m/>
    <m/>
    <n v="386"/>
    <n v="0.92565947242206237"/>
  </r>
  <r>
    <x v="12"/>
    <n v="0.76143103246416566"/>
    <n v="36832"/>
    <s v="BANYAN ELEMENTARY SCHOOL"/>
    <m/>
    <m/>
    <n v="296"/>
    <n v="365"/>
    <m/>
    <m/>
    <n v="296"/>
    <n v="0.81095890410958904"/>
  </r>
  <r>
    <x v="12"/>
    <n v="0.76143103246416566"/>
    <n v="16049161"/>
    <s v="DR. MANUEL C. BARREIRO ELEMENTARY SCHOOL"/>
    <m/>
    <m/>
    <n v="550"/>
    <n v="794"/>
    <m/>
    <m/>
    <n v="550"/>
    <n v="0.69269521410579349"/>
  </r>
  <r>
    <x v="12"/>
    <n v="0.76143103246416566"/>
    <n v="16036315"/>
    <s v="AVENTURA WATERWAYS K-8 CENTER"/>
    <m/>
    <m/>
    <n v="883"/>
    <n v="1999"/>
    <m/>
    <m/>
    <n v="883"/>
    <n v="0.44172086043021513"/>
  </r>
  <r>
    <x v="12"/>
    <n v="0.76143103246416566"/>
    <n v="36825"/>
    <s v="RUTH K. BROAD BAY HARBOR K-8 CENTER"/>
    <m/>
    <m/>
    <n v="505"/>
    <n v="1323"/>
    <m/>
    <m/>
    <n v="505"/>
    <n v="0.381708238851096"/>
  </r>
  <r>
    <x v="12"/>
    <n v="0.76143103246416566"/>
    <n v="36992"/>
    <s v="ETHEL KOGER BECKHAM ELEMENTARY"/>
    <m/>
    <m/>
    <n v="576"/>
    <n v="817"/>
    <m/>
    <m/>
    <n v="576"/>
    <n v="0.70501835985312122"/>
  </r>
  <r>
    <x v="12"/>
    <n v="0.76143103246416566"/>
    <n v="36876"/>
    <s v="BEL-AIRE ELEMENTARY SCHOOL"/>
    <m/>
    <m/>
    <n v="396"/>
    <n v="406"/>
    <m/>
    <m/>
    <n v="396"/>
    <n v="0.97536945812807885"/>
  </r>
  <r>
    <x v="12"/>
    <n v="0.76143103246416566"/>
    <n v="36991"/>
    <s v="BENT TREE ELEMENTARY SCHOOL"/>
    <m/>
    <m/>
    <n v="406"/>
    <n v="522"/>
    <m/>
    <m/>
    <n v="406"/>
    <n v="0.77777777777777779"/>
  </r>
  <r>
    <x v="12"/>
    <n v="0.76143103246416566"/>
    <n v="16036314"/>
    <s v="GOULDS ELEMENTARY SCHOOL"/>
    <m/>
    <m/>
    <n v="602"/>
    <n v="642"/>
    <m/>
    <m/>
    <n v="602"/>
    <n v="0.93769470404984423"/>
  </r>
  <r>
    <x v="12"/>
    <n v="0.76143103246416566"/>
    <n v="36728"/>
    <s v="BISCAYNE ELEMENTARY SCHOOL"/>
    <m/>
    <m/>
    <n v="656"/>
    <n v="740"/>
    <m/>
    <m/>
    <n v="656"/>
    <n v="0.88648648648648654"/>
  </r>
  <r>
    <x v="12"/>
    <n v="0.76143103246416566"/>
    <n v="16070970"/>
    <s v="CHAPMAN PARTNERSHIP EARLY CHILDHOOD CENTER N"/>
    <m/>
    <m/>
    <n v="44"/>
    <n v="44"/>
    <m/>
    <m/>
    <n v="44"/>
    <n v="1"/>
  </r>
  <r>
    <x v="12"/>
    <n v="0.76143103246416566"/>
    <n v="16049159"/>
    <s v="ARCHCREEK ELEMENTARY SCHOOL"/>
    <m/>
    <m/>
    <n v="527"/>
    <n v="569"/>
    <m/>
    <m/>
    <n v="527"/>
    <n v="0.92618629173989453"/>
  </r>
  <r>
    <x v="12"/>
    <n v="0.76143103246416566"/>
    <n v="16070971"/>
    <s v="CHAPMAN PARTNERSHIP EARLY CHILDHOOD CENTER SOUTH"/>
    <m/>
    <m/>
    <n v="88"/>
    <n v="88"/>
    <m/>
    <m/>
    <n v="88"/>
    <n v="1"/>
  </r>
  <r>
    <x v="12"/>
    <n v="0.76143103246416566"/>
    <n v="36960"/>
    <s v="BISCAYNE GARDENS ELEMENTARY"/>
    <m/>
    <m/>
    <n v="567"/>
    <n v="602"/>
    <m/>
    <m/>
    <n v="567"/>
    <n v="0.94186046511627908"/>
  </r>
  <r>
    <x v="12"/>
    <n v="0.76143103246416566"/>
    <n v="36810"/>
    <s v="VAN E. BLANTON ELEMENTARY SCHOOL"/>
    <m/>
    <m/>
    <n v="561"/>
    <n v="584"/>
    <m/>
    <m/>
    <n v="561"/>
    <n v="0.96061643835616439"/>
  </r>
  <r>
    <x v="12"/>
    <n v="0.76143103246416566"/>
    <n v="36917"/>
    <s v="BLUE LAKES ELEMENTARY SCHOOL"/>
    <m/>
    <m/>
    <n v="298"/>
    <n v="489"/>
    <m/>
    <m/>
    <n v="298"/>
    <n v="0.60940695296523517"/>
  </r>
  <r>
    <x v="12"/>
    <n v="0.76143103246416566"/>
    <n v="37068"/>
    <s v="BOWMAN ASHE/DOOLIN K-8 ACADEMY"/>
    <m/>
    <m/>
    <n v="970"/>
    <n v="1109"/>
    <m/>
    <m/>
    <n v="970"/>
    <n v="0.8746618575293057"/>
  </r>
  <r>
    <x v="12"/>
    <n v="0.76143103246416566"/>
    <n v="36514"/>
    <s v="BRENTWOOD ELEMENTARY SCHOOL"/>
    <m/>
    <m/>
    <n v="574"/>
    <n v="625"/>
    <m/>
    <m/>
    <n v="574"/>
    <n v="0.91839999999999999"/>
  </r>
  <r>
    <x v="12"/>
    <n v="0.76143103246416566"/>
    <n v="36296"/>
    <s v="JAMES H. BRIGHT ELEMENTARY/J.W. JOHNSON ELEMENTARY"/>
    <m/>
    <m/>
    <n v="612"/>
    <n v="634"/>
    <m/>
    <m/>
    <n v="612"/>
    <n v="0.96529968454258674"/>
  </r>
  <r>
    <x v="12"/>
    <n v="0.76143103246416566"/>
    <n v="36798"/>
    <s v="BROADMOOR ELEMENTARY SCHOOL"/>
    <m/>
    <m/>
    <n v="455"/>
    <n v="471"/>
    <m/>
    <m/>
    <n v="455"/>
    <n v="0.96602972399150744"/>
  </r>
  <r>
    <x v="12"/>
    <n v="0.76143103246416566"/>
    <n v="36888"/>
    <s v="W. J. BRYAN ELEMENTARY"/>
    <m/>
    <m/>
    <n v="647"/>
    <n v="733"/>
    <m/>
    <m/>
    <n v="647"/>
    <n v="0.88267394270122779"/>
  </r>
  <r>
    <x v="12"/>
    <n v="0.76143103246416566"/>
    <n v="36499"/>
    <s v="BUNCHE PARK ELEMENTARY SCHOOL"/>
    <m/>
    <m/>
    <n v="374"/>
    <n v="379"/>
    <m/>
    <m/>
    <n v="374"/>
    <n v="0.98680738786279687"/>
  </r>
  <r>
    <x v="12"/>
    <n v="0.76143103246416566"/>
    <n v="36460"/>
    <s v="CAMPBELL DRIVE K-8 CENTER"/>
    <m/>
    <m/>
    <n v="908"/>
    <n v="928"/>
    <m/>
    <m/>
    <n v="908"/>
    <n v="0.97844827586206895"/>
  </r>
  <r>
    <x v="12"/>
    <n v="0.76143103246416566"/>
    <n v="37016"/>
    <s v="CARIBBEAN ELEMENTARY SCHOOL"/>
    <m/>
    <m/>
    <n v="625"/>
    <n v="666"/>
    <m/>
    <m/>
    <n v="625"/>
    <n v="0.93843843843843844"/>
  </r>
  <r>
    <x v="12"/>
    <n v="0.76143103246416566"/>
    <n v="37051"/>
    <s v="CALUSA ELEMENTARY SCHOOL"/>
    <m/>
    <m/>
    <n v="441"/>
    <n v="860"/>
    <m/>
    <m/>
    <n v="441"/>
    <n v="0.51279069767441865"/>
  </r>
  <r>
    <x v="12"/>
    <n v="0.76143103246416566"/>
    <n v="36507"/>
    <s v="CAROL CITY ELEMENTARY SCHOOL"/>
    <m/>
    <m/>
    <n v="420"/>
    <n v="448"/>
    <m/>
    <m/>
    <n v="420"/>
    <n v="0.9375"/>
  </r>
  <r>
    <x v="12"/>
    <n v="0.76143103246416566"/>
    <n v="36655"/>
    <s v="GEORGE W. CARVER ELEMENTARY SCHOOL"/>
    <m/>
    <m/>
    <n v="256"/>
    <n v="391"/>
    <m/>
    <m/>
    <n v="256"/>
    <n v="0.65473145780051156"/>
  </r>
  <r>
    <x v="12"/>
    <n v="0.76143103246416566"/>
    <n v="36713"/>
    <s v="FIENBERG/FISHER K-8 CENTER"/>
    <m/>
    <m/>
    <n v="742"/>
    <n v="852"/>
    <m/>
    <m/>
    <n v="742"/>
    <n v="0.87089201877934275"/>
  </r>
  <r>
    <x v="12"/>
    <n v="0.76143103246416566"/>
    <n v="36455"/>
    <s v="DR. WILLIAM A. CHAPMAN ELEMENTARY SCHOOL"/>
    <m/>
    <m/>
    <n v="532"/>
    <n v="558"/>
    <m/>
    <m/>
    <n v="532"/>
    <n v="0.95340501792114696"/>
  </r>
  <r>
    <x v="12"/>
    <n v="0.76143103246416566"/>
    <n v="36622"/>
    <s v="CITRUS GROVE ELEMENTARY SCHOOL"/>
    <m/>
    <m/>
    <n v="816"/>
    <n v="853"/>
    <m/>
    <m/>
    <n v="816"/>
    <n v="0.95662368112543961"/>
  </r>
  <r>
    <x v="12"/>
    <n v="0.76143103246416566"/>
    <n v="37050"/>
    <s v="CLAUDE PEPPER ELEMENTARY SCHOOL"/>
    <m/>
    <m/>
    <n v="411"/>
    <n v="602"/>
    <m/>
    <m/>
    <n v="411"/>
    <n v="0.68272425249169433"/>
  </r>
  <r>
    <x v="12"/>
    <n v="0.76143103246416566"/>
    <n v="36656"/>
    <s v="COCONUT GROVE ELEMENTARY SCHOOL"/>
    <m/>
    <m/>
    <n v="184"/>
    <n v="481"/>
    <m/>
    <m/>
    <n v="184"/>
    <n v="0.38253638253638256"/>
  </r>
  <r>
    <x v="12"/>
    <n v="0.76143103246416566"/>
    <n v="36864"/>
    <s v="COLONIAL DRIVE ELEMENTARY SCHOOL"/>
    <m/>
    <m/>
    <n v="270"/>
    <n v="298"/>
    <m/>
    <m/>
    <n v="270"/>
    <n v="0.90604026845637586"/>
  </r>
  <r>
    <x v="12"/>
    <n v="0.76143103246416566"/>
    <n v="36757"/>
    <s v="COMSTOCK ELEMENTARY SCHOOL"/>
    <m/>
    <m/>
    <n v="560"/>
    <n v="564"/>
    <m/>
    <m/>
    <n v="560"/>
    <n v="0.99290780141843971"/>
  </r>
  <r>
    <x v="12"/>
    <n v="0.76143103246416566"/>
    <n v="36445"/>
    <s v="NEVA KING COOPER EDUCATIONAL CENTER"/>
    <m/>
    <m/>
    <n v="90"/>
    <n v="105"/>
    <m/>
    <m/>
    <n v="90"/>
    <n v="0.8571428571428571"/>
  </r>
  <r>
    <x v="12"/>
    <n v="0.76143103246416566"/>
    <n v="36672"/>
    <s v="CORAL GABLES PREPARATORY ACADEMY"/>
    <m/>
    <m/>
    <n v="328"/>
    <n v="818"/>
    <m/>
    <m/>
    <n v="328"/>
    <n v="0.40097799511002447"/>
  </r>
  <r>
    <x v="12"/>
    <n v="0.76143103246416566"/>
    <n v="36981"/>
    <s v="CORAL PARK ELEMENTARY SCHOOL"/>
    <m/>
    <m/>
    <n v="861"/>
    <n v="1192"/>
    <m/>
    <m/>
    <n v="861"/>
    <n v="0.72231543624161076"/>
  </r>
  <r>
    <x v="12"/>
    <n v="0.76143103246416566"/>
    <n v="36861"/>
    <s v="CORAL REEF ELEMENTARY SCHOOL"/>
    <m/>
    <m/>
    <n v="342"/>
    <n v="879"/>
    <m/>
    <m/>
    <n v="342"/>
    <n v="0.38907849829351537"/>
  </r>
  <r>
    <x v="12"/>
    <n v="0.76143103246416566"/>
    <n v="16080435"/>
    <s v="SOUTH FLORIDA AUTISM CHARTER SCHOOL INC"/>
    <m/>
    <m/>
    <n v="67"/>
    <n v="176"/>
    <m/>
    <m/>
    <n v="67"/>
    <n v="0.38068181818181818"/>
  </r>
  <r>
    <x v="12"/>
    <n v="0.76143103246416566"/>
    <n v="36829"/>
    <s v="CORAL TERRACE ELEMENTARY SCHOOL"/>
    <m/>
    <m/>
    <n v="432"/>
    <n v="461"/>
    <m/>
    <m/>
    <n v="432"/>
    <n v="0.93709327548806942"/>
  </r>
  <r>
    <x v="12"/>
    <n v="0.76143103246416566"/>
    <n v="36783"/>
    <s v="CORAL WAY K-8 CENTER"/>
    <m/>
    <m/>
    <n v="1047"/>
    <n v="1460"/>
    <m/>
    <m/>
    <n v="1047"/>
    <n v="0.7171232876712329"/>
  </r>
  <r>
    <x v="12"/>
    <n v="0.76143103246416566"/>
    <n v="36515"/>
    <s v="CRESTVIEW ELEMENTARY SCHOOL"/>
    <m/>
    <m/>
    <n v="384"/>
    <n v="423"/>
    <m/>
    <m/>
    <n v="384"/>
    <n v="0.90780141843971629"/>
  </r>
  <r>
    <x v="12"/>
    <n v="0.76143103246416566"/>
    <n v="37061"/>
    <s v="CUTLER RIDGE ELEMENTARY SCHOOL"/>
    <m/>
    <m/>
    <n v="438"/>
    <n v="602"/>
    <m/>
    <m/>
    <n v="438"/>
    <n v="0.72757475083056478"/>
  </r>
  <r>
    <x v="12"/>
    <n v="0.76143103246416566"/>
    <n v="36920"/>
    <s v="CYPRESS ELEMENTARY SCHOOL"/>
    <m/>
    <m/>
    <n v="245"/>
    <n v="306"/>
    <m/>
    <m/>
    <n v="245"/>
    <n v="0.80065359477124187"/>
  </r>
  <r>
    <x v="12"/>
    <n v="0.76143103246416566"/>
    <n v="37053"/>
    <s v="DEVON AIRE K-8 CENTER"/>
    <m/>
    <m/>
    <n v="841"/>
    <n v="1524"/>
    <m/>
    <m/>
    <n v="841"/>
    <n v="0.55183727034120733"/>
  </r>
  <r>
    <x v="12"/>
    <n v="0.76143103246416566"/>
    <n v="36693"/>
    <s v="FREDERICK R. DOUGLASS ELEMENTARY"/>
    <m/>
    <m/>
    <n v="196"/>
    <n v="197"/>
    <m/>
    <m/>
    <n v="196"/>
    <n v="0.99492385786802029"/>
  </r>
  <r>
    <x v="12"/>
    <n v="0.76143103246416566"/>
    <n v="37047"/>
    <s v="MARJORY STONEMAN DOUGLAS ELEM"/>
    <m/>
    <m/>
    <n v="783"/>
    <n v="992"/>
    <m/>
    <m/>
    <n v="783"/>
    <n v="0.78931451612903225"/>
  </r>
  <r>
    <x v="12"/>
    <n v="0.76143103246416566"/>
    <n v="36737"/>
    <s v="CHARLES R DREW K-8 CENTER"/>
    <m/>
    <m/>
    <n v="448"/>
    <n v="461"/>
    <m/>
    <m/>
    <n v="448"/>
    <n v="0.97180043383947934"/>
  </r>
  <r>
    <x v="12"/>
    <n v="0.76143103246416566"/>
    <n v="36638"/>
    <s v="PAUL LAURENCE DUNBAR K-8 CENTER"/>
    <m/>
    <m/>
    <n v="388"/>
    <n v="395"/>
    <m/>
    <m/>
    <n v="388"/>
    <n v="0.98227848101265824"/>
  </r>
  <r>
    <x v="12"/>
    <n v="0.76143103246416566"/>
    <n v="36306"/>
    <s v="JOHN G. DUPUIS ELEMENTARY SCHOOL"/>
    <m/>
    <m/>
    <n v="534"/>
    <n v="587"/>
    <m/>
    <m/>
    <n v="534"/>
    <n v="0.90971039182282798"/>
  </r>
  <r>
    <x v="12"/>
    <n v="0.76143103246416566"/>
    <n v="36320"/>
    <s v="AMELIA EARHART ELEMENTARY SCHOOL"/>
    <m/>
    <m/>
    <n v="432"/>
    <n v="461"/>
    <m/>
    <m/>
    <n v="432"/>
    <n v="0.93709327548806942"/>
  </r>
  <r>
    <x v="12"/>
    <n v="0.76143103246416566"/>
    <n v="36746"/>
    <s v="EARLINGTON HEIGHTS ELEMENTARY SCHOOL"/>
    <m/>
    <m/>
    <n v="461"/>
    <n v="467"/>
    <m/>
    <m/>
    <n v="461"/>
    <n v="0.98715203426124198"/>
  </r>
  <r>
    <x v="12"/>
    <n v="0.76143103246416566"/>
    <n v="36819"/>
    <s v="EDISON PARK K-8 CENTER"/>
    <m/>
    <m/>
    <n v="439"/>
    <n v="458"/>
    <m/>
    <m/>
    <n v="439"/>
    <n v="0.95851528384279472"/>
  </r>
  <r>
    <x v="12"/>
    <n v="0.76143103246416566"/>
    <n v="36834"/>
    <s v="EMERSON ELEMENTARY SCHOOL"/>
    <m/>
    <m/>
    <n v="318"/>
    <n v="359"/>
    <m/>
    <m/>
    <n v="318"/>
    <n v="0.88579387186629521"/>
  </r>
  <r>
    <x v="12"/>
    <n v="0.76143103246416566"/>
    <n v="36801"/>
    <s v="LILLIE C. EVANS K-8 CENTER"/>
    <m/>
    <m/>
    <n v="437"/>
    <n v="444"/>
    <m/>
    <m/>
    <n v="437"/>
    <n v="0.98423423423423428"/>
  </r>
  <r>
    <x v="12"/>
    <n v="0.76143103246416566"/>
    <n v="210307"/>
    <s v="CHRISTINA M. EVE ELEMENTARY SCHOOL"/>
    <m/>
    <m/>
    <n v="454"/>
    <n v="803"/>
    <m/>
    <m/>
    <n v="454"/>
    <n v="0.5653798256537983"/>
  </r>
  <r>
    <x v="12"/>
    <n v="0.76143103246416566"/>
    <n v="36826"/>
    <s v="EVERGLADES K-8 CENTER"/>
    <m/>
    <m/>
    <n v="810"/>
    <n v="1048"/>
    <m/>
    <m/>
    <n v="810"/>
    <n v="0.77290076335877866"/>
  </r>
  <r>
    <x v="12"/>
    <n v="0.76143103246416566"/>
    <n v="36839"/>
    <s v="DAVID FAIRCHILD ELEMENTARY SCHOOL"/>
    <m/>
    <m/>
    <n v="216"/>
    <n v="613"/>
    <m/>
    <m/>
    <n v="216"/>
    <n v="0.35236541598694943"/>
  </r>
  <r>
    <x v="12"/>
    <n v="0.76143103246416566"/>
    <n v="36774"/>
    <s v="FAIRLAWN ELEMENTARY SCHOOL"/>
    <m/>
    <m/>
    <n v="582"/>
    <n v="649"/>
    <m/>
    <m/>
    <n v="582"/>
    <n v="0.8967642526964561"/>
  </r>
  <r>
    <x v="12"/>
    <n v="0.76143103246416566"/>
    <n v="37069"/>
    <s v="DANTE B. FASCELL ELEMENTARY SCHOOL"/>
    <m/>
    <m/>
    <n v="464"/>
    <n v="525"/>
    <m/>
    <m/>
    <n v="464"/>
    <n v="0.88380952380952382"/>
  </r>
  <r>
    <x v="12"/>
    <n v="0.76143103246416566"/>
    <n v="36777"/>
    <s v="FLAGAMI ELEMENTARY SCHOOL"/>
    <m/>
    <m/>
    <n v="389"/>
    <n v="442"/>
    <m/>
    <m/>
    <n v="389"/>
    <n v="0.88009049773755654"/>
  </r>
  <r>
    <x v="12"/>
    <n v="0.76143103246416566"/>
    <n v="36626"/>
    <s v="HENRY M. FLAGLER ELEMENTARY SCHOOL"/>
    <m/>
    <m/>
    <n v="707"/>
    <n v="775"/>
    <m/>
    <m/>
    <n v="707"/>
    <n v="0.91225806451612901"/>
  </r>
  <r>
    <x v="12"/>
    <n v="0.76143103246416566"/>
    <n v="36326"/>
    <s v="FLAMINGO ELEMENTARY SCHOOL"/>
    <m/>
    <m/>
    <n v="581"/>
    <n v="647"/>
    <m/>
    <m/>
    <n v="581"/>
    <n v="0.89799072642967548"/>
  </r>
  <r>
    <x v="12"/>
    <n v="0.76143103246416566"/>
    <n v="36463"/>
    <s v="FLORIDA CITY ELEMENTARY SCHOOL"/>
    <m/>
    <m/>
    <n v="778"/>
    <n v="805"/>
    <m/>
    <m/>
    <n v="778"/>
    <n v="0.96645962732919255"/>
  </r>
  <r>
    <x v="12"/>
    <n v="0.76143103246416566"/>
    <n v="37003"/>
    <s v="GLORIA FLOYD ELEMENTARY SCHOOL"/>
    <m/>
    <m/>
    <n v="393"/>
    <n v="574"/>
    <m/>
    <m/>
    <n v="393"/>
    <n v="0.68466898954703836"/>
  </r>
  <r>
    <x v="12"/>
    <n v="0.76143103246416566"/>
    <n v="36947"/>
    <s v="BENJAMIN FRANKLIN K-8 CENTER"/>
    <m/>
    <m/>
    <n v="553"/>
    <n v="578"/>
    <m/>
    <m/>
    <n v="553"/>
    <n v="0.95674740484429066"/>
  </r>
  <r>
    <x v="12"/>
    <n v="0.76143103246416566"/>
    <n v="36899"/>
    <s v="FULFORD ELEMENTARY SCHOOL"/>
    <m/>
    <m/>
    <n v="518"/>
    <n v="551"/>
    <m/>
    <m/>
    <n v="518"/>
    <n v="0.94010889292196009"/>
  </r>
  <r>
    <x v="12"/>
    <n v="0.76143103246416566"/>
    <n v="36352"/>
    <s v="HIALEAH GARDENS ELEMENTARY SCHOOL"/>
    <m/>
    <m/>
    <n v="763"/>
    <n v="917"/>
    <m/>
    <m/>
    <n v="763"/>
    <n v="0.83206106870229013"/>
  </r>
  <r>
    <x v="12"/>
    <n v="0.76143103246416566"/>
    <n v="37055"/>
    <s v="JACK DAVID GORDON ELEMENTARY SCHOOL"/>
    <m/>
    <m/>
    <n v="811"/>
    <n v="1092"/>
    <m/>
    <m/>
    <n v="811"/>
    <n v="0.7426739926739927"/>
  </r>
  <r>
    <x v="12"/>
    <n v="0.76143103246416566"/>
    <n v="36498"/>
    <s v="GOLDEN GLADES ELEMENTARY SCHOOL"/>
    <m/>
    <m/>
    <n v="250"/>
    <n v="253"/>
    <m/>
    <m/>
    <n v="250"/>
    <n v="0.98814229249011853"/>
  </r>
  <r>
    <x v="12"/>
    <n v="0.76143103246416566"/>
    <n v="36346"/>
    <s v="JOELLA GOOD ELEMENTARY SCHOOL"/>
    <m/>
    <m/>
    <n v="780"/>
    <n v="943"/>
    <m/>
    <m/>
    <n v="780"/>
    <n v="0.82714740190880165"/>
  </r>
  <r>
    <x v="12"/>
    <n v="0.76143103246416566"/>
    <n v="16036311"/>
    <s v="SPANISH LAKE ELEMENTARY SCHOOL"/>
    <m/>
    <m/>
    <n v="1291"/>
    <n v="1644"/>
    <m/>
    <m/>
    <n v="1291"/>
    <n v="0.78527980535279807"/>
  </r>
  <r>
    <x v="12"/>
    <n v="0.76143103246416566"/>
    <n v="36946"/>
    <s v="GRATIGNY ELEMENTARY SCHOOL"/>
    <m/>
    <m/>
    <n v="552"/>
    <n v="590"/>
    <m/>
    <m/>
    <n v="552"/>
    <n v="0.93559322033898307"/>
  </r>
  <r>
    <x v="12"/>
    <n v="0.76143103246416566"/>
    <n v="36985"/>
    <s v="GREENGLADE ELEMENTARY SCHOOL"/>
    <m/>
    <m/>
    <n v="403"/>
    <n v="542"/>
    <m/>
    <m/>
    <n v="403"/>
    <n v="0.74354243542435428"/>
  </r>
  <r>
    <x v="12"/>
    <n v="0.76143103246416566"/>
    <n v="36892"/>
    <s v="GREYNOLDS PARK ELEMENTARY SCHOOL"/>
    <m/>
    <m/>
    <n v="682"/>
    <n v="750"/>
    <m/>
    <m/>
    <n v="682"/>
    <n v="0.90933333333333333"/>
  </r>
  <r>
    <x v="12"/>
    <n v="0.76143103246416566"/>
    <n v="37062"/>
    <s v="GULFSTREAM ELEMENTARY SCHOOL"/>
    <m/>
    <m/>
    <n v="592"/>
    <n v="707"/>
    <m/>
    <m/>
    <n v="592"/>
    <n v="0.83734087694483739"/>
  </r>
  <r>
    <x v="12"/>
    <n v="0.76143103246416566"/>
    <n v="36625"/>
    <s v="CHARLES R HADLEY ELEMENTARY SCHOOL"/>
    <m/>
    <m/>
    <n v="829"/>
    <n v="972"/>
    <m/>
    <m/>
    <n v="829"/>
    <n v="0.85288065843621397"/>
  </r>
  <r>
    <x v="12"/>
    <n v="0.76143103246416566"/>
    <n v="36982"/>
    <s v="JOE HALL ELEMENTARY SCHOOL"/>
    <m/>
    <m/>
    <n v="426"/>
    <n v="572"/>
    <m/>
    <m/>
    <n v="426"/>
    <n v="0.74475524475524479"/>
  </r>
  <r>
    <x v="12"/>
    <n v="0.76143103246416566"/>
    <n v="36636"/>
    <s v="ENEIDA M. HARTNER ELEMENTARY SCHOOL"/>
    <m/>
    <m/>
    <n v="481"/>
    <n v="498"/>
    <m/>
    <m/>
    <n v="481"/>
    <n v="0.96586345381526106"/>
  </r>
  <r>
    <x v="12"/>
    <n v="0.76143103246416566"/>
    <n v="36300"/>
    <s v="HIALEAH ELEMENTARY SCHOOL"/>
    <m/>
    <m/>
    <n v="593"/>
    <n v="637"/>
    <m/>
    <m/>
    <n v="593"/>
    <n v="0.93092621664050235"/>
  </r>
  <r>
    <x v="12"/>
    <n v="0.76143103246416566"/>
    <n v="16036312"/>
    <s v="WEST HIALEAH GARDENS ELEMENTARY SCHOOL"/>
    <m/>
    <m/>
    <n v="1101"/>
    <n v="1268"/>
    <m/>
    <m/>
    <n v="1101"/>
    <n v="0.8682965299684543"/>
  </r>
  <r>
    <x v="12"/>
    <n v="0.76143103246416566"/>
    <n v="36956"/>
    <s v="HIBISCUS ELEMENTARY SCHOOL"/>
    <m/>
    <m/>
    <n v="492"/>
    <n v="544"/>
    <m/>
    <m/>
    <n v="492"/>
    <n v="0.90441176470588236"/>
  </r>
  <r>
    <x v="12"/>
    <n v="0.76143103246416566"/>
    <n v="37023"/>
    <s v="VIRGINIA A BOONE-HIGHLAND OAKS SCHOOL"/>
    <m/>
    <m/>
    <n v="376"/>
    <n v="718"/>
    <m/>
    <m/>
    <n v="376"/>
    <n v="0.5236768802228412"/>
  </r>
  <r>
    <x v="12"/>
    <n v="0.76143103246416566"/>
    <n v="36820"/>
    <s v="HOLMES ELEMENTARY SCHOOL"/>
    <m/>
    <m/>
    <n v="539"/>
    <n v="545"/>
    <m/>
    <m/>
    <n v="539"/>
    <n v="0.98899082568807339"/>
  </r>
  <r>
    <x v="12"/>
    <n v="0.76143103246416566"/>
    <n v="36984"/>
    <s v="ZORA NEALE HURSTON ELEMENTARY SCHOOL"/>
    <m/>
    <m/>
    <n v="577"/>
    <n v="711"/>
    <m/>
    <m/>
    <n v="577"/>
    <n v="0.8115330520393812"/>
  </r>
  <r>
    <x v="12"/>
    <n v="0.76143103246416566"/>
    <n v="37071"/>
    <s v="OLIVER HOOVER ELEMENTARY SCHOOL"/>
    <m/>
    <m/>
    <n v="531"/>
    <n v="738"/>
    <m/>
    <m/>
    <n v="531"/>
    <n v="0.71951219512195119"/>
  </r>
  <r>
    <x v="12"/>
    <n v="0.76143103246416566"/>
    <n v="36822"/>
    <s v="THENA CROWDER EARLY CHILDHOOD DIAGNOSTIC SPECIAL EDUCATION CENTER"/>
    <m/>
    <m/>
    <n v="64"/>
    <n v="68"/>
    <m/>
    <m/>
    <n v="64"/>
    <n v="0.94117647058823528"/>
  </r>
  <r>
    <x v="12"/>
    <n v="0.76143103246416566"/>
    <n v="36855"/>
    <s v="HOWARD DRIVE ELEMENTARY SCHOOL"/>
    <m/>
    <m/>
    <n v="269"/>
    <n v="640"/>
    <m/>
    <m/>
    <n v="269"/>
    <n v="0.42031249999999998"/>
  </r>
  <r>
    <x v="12"/>
    <n v="0.76143103246416566"/>
    <n v="37018"/>
    <s v="MADIE IVES COMMUNITY ELEMENTARY SCHOOL"/>
    <m/>
    <m/>
    <n v="618"/>
    <n v="694"/>
    <m/>
    <m/>
    <n v="618"/>
    <n v="0.89048991354466855"/>
  </r>
  <r>
    <x v="12"/>
    <n v="0.76143103246416566"/>
    <n v="36996"/>
    <s v="KENDALE ELEMENTARY SCHOOL"/>
    <m/>
    <m/>
    <n v="310"/>
    <n v="560"/>
    <m/>
    <m/>
    <n v="310"/>
    <n v="0.5535714285714286"/>
  </r>
  <r>
    <x v="12"/>
    <n v="0.76143103246416566"/>
    <n v="37041"/>
    <s v="KENDALE LAKES ELEMENTARY SCHOOL"/>
    <m/>
    <m/>
    <n v="612"/>
    <n v="777"/>
    <m/>
    <m/>
    <n v="612"/>
    <n v="0.78764478764478763"/>
  </r>
  <r>
    <x v="12"/>
    <n v="0.76143103246416566"/>
    <n v="36620"/>
    <s v="KENSINGTON PARK ELEMENTARY SCHOOL"/>
    <m/>
    <m/>
    <n v="997"/>
    <n v="1085"/>
    <m/>
    <m/>
    <n v="997"/>
    <n v="0.91889400921658981"/>
  </r>
  <r>
    <x v="12"/>
    <n v="0.76143103246416566"/>
    <n v="36857"/>
    <s v="KENWOOD K-8 CENTER"/>
    <m/>
    <m/>
    <n v="632"/>
    <n v="1068"/>
    <m/>
    <m/>
    <n v="632"/>
    <n v="0.59176029962546817"/>
  </r>
  <r>
    <x v="12"/>
    <n v="0.76143103246416566"/>
    <n v="36809"/>
    <s v="KEY BISCAYNE K-8 CENTER"/>
    <m/>
    <m/>
    <n v="101"/>
    <n v="1381"/>
    <m/>
    <m/>
    <n v="101"/>
    <n v="7.3135409123823311E-2"/>
  </r>
  <r>
    <x v="12"/>
    <n v="0.76143103246416566"/>
    <n v="36816"/>
    <s v="MARTIN LUTHER KING ELEMENTARY SCHOOL"/>
    <m/>
    <m/>
    <n v="138"/>
    <n v="140"/>
    <m/>
    <m/>
    <n v="138"/>
    <n v="0.98571428571428577"/>
  </r>
  <r>
    <x v="12"/>
    <n v="0.76143103246416566"/>
    <n v="36627"/>
    <s v="KINLOCH PARK ELEMENTARY SCHOOL"/>
    <m/>
    <m/>
    <n v="661"/>
    <n v="709"/>
    <m/>
    <m/>
    <n v="661"/>
    <n v="0.93229901269393511"/>
  </r>
  <r>
    <x v="12"/>
    <n v="0.76143103246416566"/>
    <n v="36504"/>
    <s v="LAKE STEVENS ELEMENTARY SCHOOL"/>
    <m/>
    <m/>
    <n v="251"/>
    <n v="262"/>
    <m/>
    <m/>
    <n v="251"/>
    <n v="0.9580152671755725"/>
  </r>
  <r>
    <x v="12"/>
    <n v="0.76143103246416566"/>
    <n v="36940"/>
    <s v="LAKEVIEW ELEMENTARY SCHOOL"/>
    <m/>
    <m/>
    <n v="423"/>
    <n v="424"/>
    <m/>
    <m/>
    <n v="423"/>
    <n v="0.99764150943396224"/>
  </r>
  <r>
    <x v="12"/>
    <n v="0.76143103246416566"/>
    <n v="37005"/>
    <s v="LEEWOOD K-8 CENTER"/>
    <m/>
    <m/>
    <n v="240"/>
    <n v="813"/>
    <m/>
    <m/>
    <n v="240"/>
    <n v="0.29520295202952029"/>
  </r>
  <r>
    <x v="12"/>
    <n v="0.76143103246416566"/>
    <n v="169214"/>
    <s v="WILLIAM H. LEHMAN ELEMENTARY SCHOOL"/>
    <m/>
    <m/>
    <n v="380"/>
    <n v="654"/>
    <m/>
    <m/>
    <n v="380"/>
    <n v="0.58103975535168195"/>
  </r>
  <r>
    <x v="12"/>
    <n v="0.76143103246416566"/>
    <n v="36458"/>
    <s v="LEISURE CITY K-8 CENTER"/>
    <m/>
    <m/>
    <n v="1034"/>
    <n v="1061"/>
    <m/>
    <m/>
    <n v="1034"/>
    <n v="0.97455230914231861"/>
  </r>
  <r>
    <x v="12"/>
    <n v="0.76143103246416566"/>
    <n v="185122"/>
    <s v="LINDA LENTIN K-8 CENTER"/>
    <m/>
    <m/>
    <n v="799"/>
    <n v="880"/>
    <m/>
    <m/>
    <n v="799"/>
    <n v="0.90795454545454546"/>
  </r>
  <r>
    <x v="12"/>
    <n v="0.76143103246416566"/>
    <n v="36448"/>
    <s v="LAURA C. SAUNDERS ELEMENTARY SCHOOL"/>
    <m/>
    <m/>
    <n v="686"/>
    <n v="692"/>
    <m/>
    <m/>
    <n v="686"/>
    <n v="0.99132947976878616"/>
  </r>
  <r>
    <x v="12"/>
    <n v="0.76143103246416566"/>
    <n v="36803"/>
    <s v="LIBERTY CITY ELEMENTARY SCHOOL"/>
    <m/>
    <m/>
    <n v="457"/>
    <n v="471"/>
    <m/>
    <m/>
    <n v="457"/>
    <n v="0.97027600849256901"/>
  </r>
  <r>
    <x v="12"/>
    <n v="0.76143103246416566"/>
    <n v="36814"/>
    <s v="JESSE J. MCCRARY, JR. ELEMENTARY SCHOOL"/>
    <m/>
    <m/>
    <n v="618"/>
    <n v="648"/>
    <m/>
    <m/>
    <n v="618"/>
    <n v="0.95370370370370372"/>
  </r>
  <r>
    <x v="12"/>
    <n v="0.76143103246416566"/>
    <n v="36741"/>
    <s v="LORAH PARK ELEMENTARY SCHOOL"/>
    <m/>
    <m/>
    <n v="474"/>
    <n v="484"/>
    <m/>
    <m/>
    <n v="474"/>
    <n v="0.97933884297520657"/>
  </r>
  <r>
    <x v="12"/>
    <n v="0.76143103246416566"/>
    <n v="36696"/>
    <s v="TOUSSAINT L'OUVERTURE ELEMENTARY"/>
    <m/>
    <m/>
    <n v="443"/>
    <n v="463"/>
    <m/>
    <m/>
    <n v="443"/>
    <n v="0.95680345572354208"/>
  </r>
  <r>
    <x v="12"/>
    <n v="0.76143103246416566"/>
    <n v="36766"/>
    <s v="LUDLAM ELEMENTARY SCHOOL"/>
    <m/>
    <m/>
    <n v="249"/>
    <n v="384"/>
    <m/>
    <m/>
    <n v="249"/>
    <n v="0.6484375"/>
  </r>
  <r>
    <x v="12"/>
    <n v="0.76143103246416566"/>
    <n v="37008"/>
    <s v="FRANK CRAWFORD MARTIN K-8 CENTER"/>
    <m/>
    <m/>
    <n v="725"/>
    <n v="1150"/>
    <m/>
    <m/>
    <n v="725"/>
    <n v="0.63043478260869568"/>
  </r>
  <r>
    <x v="12"/>
    <n v="0.76143103246416566"/>
    <n v="36993"/>
    <s v="WESLEY MATTHEWS ELEMENTARY SCHOOL"/>
    <m/>
    <m/>
    <n v="410"/>
    <n v="499"/>
    <m/>
    <m/>
    <n v="410"/>
    <n v="0.82164328657314634"/>
  </r>
  <r>
    <x v="12"/>
    <n v="0.76143103246416566"/>
    <n v="36310"/>
    <s v="MEADOWLANE ELEMENTARY SCHOOL"/>
    <m/>
    <m/>
    <n v="813"/>
    <n v="898"/>
    <m/>
    <m/>
    <n v="813"/>
    <n v="0.90534521158129178"/>
  </r>
  <r>
    <x v="12"/>
    <n v="0.76143103246416566"/>
    <n v="36749"/>
    <s v="MELROSE ELEMENTARY SCHOOL"/>
    <m/>
    <m/>
    <n v="664"/>
    <n v="689"/>
    <m/>
    <m/>
    <n v="664"/>
    <n v="0.96371552975326558"/>
  </r>
  <r>
    <x v="12"/>
    <n v="0.76143103246416566"/>
    <n v="13213405"/>
    <s v="ADA MERRITT K-8 CENTER"/>
    <m/>
    <m/>
    <n v="245"/>
    <n v="731"/>
    <m/>
    <m/>
    <n v="245"/>
    <n v="0.33515731874145005"/>
  </r>
  <r>
    <x v="12"/>
    <n v="0.76143103246416566"/>
    <n v="36501"/>
    <s v="MIAMI GARDENS ELEMENTARY SCHOOL"/>
    <m/>
    <m/>
    <n v="261"/>
    <n v="284"/>
    <m/>
    <m/>
    <n v="261"/>
    <n v="0.91901408450704225"/>
  </r>
  <r>
    <x v="12"/>
    <n v="0.76143103246416566"/>
    <n v="37012"/>
    <s v="MIAMI HEIGHTS ELEMENTARY SCHOOL"/>
    <m/>
    <m/>
    <n v="998"/>
    <n v="1123"/>
    <m/>
    <m/>
    <n v="998"/>
    <n v="0.88869100623330366"/>
  </r>
  <r>
    <x v="12"/>
    <n v="0.76143103246416566"/>
    <n v="36328"/>
    <s v="MIAMI LAKES K-8 CENTER"/>
    <m/>
    <m/>
    <n v="753"/>
    <n v="1363"/>
    <m/>
    <m/>
    <n v="753"/>
    <n v="0.55245781364636826"/>
  </r>
  <r>
    <x v="12"/>
    <n v="0.76143103246416566"/>
    <n v="36792"/>
    <s v="MIAMI PARK ELEMENTARY SCHOOL"/>
    <m/>
    <m/>
    <n v="298"/>
    <n v="307"/>
    <m/>
    <m/>
    <n v="298"/>
    <n v="0.97068403908794787"/>
  </r>
  <r>
    <x v="12"/>
    <n v="0.76143103246416566"/>
    <n v="36702"/>
    <s v="MIAMI SHORES ELEMENTARY SCHOOL"/>
    <m/>
    <m/>
    <n v="579"/>
    <n v="769"/>
    <m/>
    <m/>
    <n v="579"/>
    <n v="0.75292587776332898"/>
  </r>
  <r>
    <x v="12"/>
    <n v="0.76143103246416566"/>
    <n v="36932"/>
    <s v="MIAMI SPRINGS ELEMENTARY SCHOOL"/>
    <m/>
    <m/>
    <n v="320"/>
    <n v="418"/>
    <m/>
    <m/>
    <n v="320"/>
    <n v="0.76555023923444976"/>
  </r>
  <r>
    <x v="12"/>
    <n v="0.76143103246416566"/>
    <n v="36316"/>
    <s v="MARCUS A. MILAM K-8 CENTER"/>
    <m/>
    <m/>
    <n v="820"/>
    <n v="917"/>
    <m/>
    <m/>
    <n v="820"/>
    <n v="0.89422028353326066"/>
  </r>
  <r>
    <x v="12"/>
    <n v="0.76143103246416566"/>
    <n v="36704"/>
    <s v="PHYLLIS R. MILLER ELEMENTARY SCHOOL"/>
    <m/>
    <m/>
    <n v="587"/>
    <n v="653"/>
    <m/>
    <m/>
    <n v="587"/>
    <n v="0.89892802450229714"/>
  </r>
  <r>
    <x v="12"/>
    <n v="0.76143103246416566"/>
    <n v="36707"/>
    <s v="MORNINGSIDE K-8 ACADEMY"/>
    <m/>
    <m/>
    <n v="451"/>
    <n v="509"/>
    <m/>
    <m/>
    <n v="451"/>
    <n v="0.88605108055009818"/>
  </r>
  <r>
    <x v="12"/>
    <n v="0.76143103246416566"/>
    <n v="36869"/>
    <s v="ROBERT RUSSA MOTON ELEMENTARY SCHOOL"/>
    <m/>
    <m/>
    <n v="377"/>
    <n v="383"/>
    <m/>
    <m/>
    <n v="377"/>
    <n v="0.98433420365535251"/>
  </r>
  <r>
    <x v="12"/>
    <n v="0.76143103246416566"/>
    <n v="36519"/>
    <s v="MYRTLE GROVE K-8 CENTER"/>
    <m/>
    <m/>
    <n v="615"/>
    <n v="640"/>
    <m/>
    <m/>
    <n v="615"/>
    <n v="0.9609375"/>
  </r>
  <r>
    <x v="12"/>
    <n v="0.76143103246416566"/>
    <n v="37030"/>
    <s v="NATURAL BRIDGE ELEMENTARY SCHOOL"/>
    <m/>
    <m/>
    <n v="693"/>
    <n v="746"/>
    <m/>
    <m/>
    <n v="693"/>
    <n v="0.92895442359249325"/>
  </r>
  <r>
    <x v="12"/>
    <n v="0.76143103246416566"/>
    <n v="36951"/>
    <s v="NORLAND ELEMENTARY SCHOOL"/>
    <m/>
    <m/>
    <n v="616"/>
    <n v="675"/>
    <m/>
    <m/>
    <n v="616"/>
    <n v="0.91259259259259262"/>
  </r>
  <r>
    <x v="12"/>
    <n v="0.76143103246416566"/>
    <n v="36721"/>
    <s v="NORTH BEACH ELEMENTARY SCHOOL"/>
    <m/>
    <m/>
    <n v="296"/>
    <n v="1070"/>
    <m/>
    <m/>
    <n v="296"/>
    <n v="0.27663551401869158"/>
  </r>
  <r>
    <x v="12"/>
    <n v="0.76143103246416566"/>
    <n v="36511"/>
    <s v="BARBARA HAWKINS ELEMENTARY SCHOOL"/>
    <m/>
    <m/>
    <n v="278"/>
    <n v="291"/>
    <m/>
    <m/>
    <n v="278"/>
    <n v="0.9553264604810997"/>
  </r>
  <r>
    <x v="12"/>
    <n v="0.76143103246416566"/>
    <n v="36508"/>
    <s v="NORTH COUNTY K-8 CENTER"/>
    <m/>
    <m/>
    <n v="427"/>
    <n v="454"/>
    <m/>
    <m/>
    <n v="427"/>
    <n v="0.94052863436123346"/>
  </r>
  <r>
    <x v="12"/>
    <n v="0.76143103246416566"/>
    <n v="36505"/>
    <s v="NORTH GLADE ELEMENTARY SCHOOL"/>
    <m/>
    <m/>
    <n v="300"/>
    <n v="321"/>
    <m/>
    <m/>
    <n v="300"/>
    <n v="0.93457943925233644"/>
  </r>
  <r>
    <x v="12"/>
    <n v="0.76143103246416566"/>
    <n v="36323"/>
    <s v="NORTH HIALEAH ELEMENTARY SCHOOL"/>
    <m/>
    <m/>
    <n v="481"/>
    <n v="539"/>
    <m/>
    <m/>
    <n v="481"/>
    <n v="0.89239332096474955"/>
  </r>
  <r>
    <x v="12"/>
    <n v="0.76143103246416566"/>
    <n v="36882"/>
    <s v="NORTH MIAMI ELEMENTARY SCHOOL"/>
    <m/>
    <m/>
    <n v="512"/>
    <n v="527"/>
    <m/>
    <m/>
    <n v="512"/>
    <n v="0.97153700189753323"/>
  </r>
  <r>
    <x v="12"/>
    <n v="0.76143103246416566"/>
    <n v="36335"/>
    <s v="NORTH TWIN LAKES ELEMENTARY SCHOOL"/>
    <m/>
    <m/>
    <n v="466"/>
    <n v="531"/>
    <m/>
    <m/>
    <n v="466"/>
    <n v="0.87758945386064036"/>
  </r>
  <r>
    <x v="12"/>
    <n v="0.76143103246416566"/>
    <n v="36950"/>
    <s v="NORWOOD ELEMENTARY SCHOOL"/>
    <m/>
    <m/>
    <n v="487"/>
    <n v="547"/>
    <m/>
    <m/>
    <n v="487"/>
    <n v="0.89031078610603287"/>
  </r>
  <r>
    <x v="12"/>
    <n v="0.76143103246416566"/>
    <n v="16080436"/>
    <s v="BEACON COLLEGE PREPARATORY"/>
    <m/>
    <m/>
    <n v="222"/>
    <n v="238"/>
    <m/>
    <m/>
    <n v="222"/>
    <n v="0.9327731092436975"/>
  </r>
  <r>
    <x v="12"/>
    <n v="0.76143103246416566"/>
    <n v="36901"/>
    <s v="OAK GROVE ELEMENTARY SCHOOL"/>
    <m/>
    <m/>
    <n v="546"/>
    <n v="581"/>
    <m/>
    <m/>
    <n v="546"/>
    <n v="0.93975903614457834"/>
  </r>
  <r>
    <x v="12"/>
    <n v="0.76143103246416566"/>
    <n v="16055035"/>
    <s v="GATEWAY ENVIRONMENTAL K-8 LEARNING CENTER"/>
    <m/>
    <m/>
    <n v="1676"/>
    <n v="1876"/>
    <m/>
    <m/>
    <n v="1676"/>
    <n v="0.89339019189765456"/>
  </r>
  <r>
    <x v="12"/>
    <n v="0.76143103246416566"/>
    <n v="37026"/>
    <s v="OJUS ELEMENTARY SCHOOL"/>
    <m/>
    <m/>
    <n v="718"/>
    <n v="934"/>
    <m/>
    <m/>
    <n v="718"/>
    <n v="0.76873661670235549"/>
  </r>
  <r>
    <x v="12"/>
    <n v="0.76143103246416566"/>
    <n v="36740"/>
    <s v="AGENORIA S PASCHAL/OLINDA ELEMENTARY SCHOOL"/>
    <m/>
    <m/>
    <n v="396"/>
    <n v="424"/>
    <m/>
    <m/>
    <n v="396"/>
    <n v="0.93396226415094341"/>
  </r>
  <r>
    <x v="12"/>
    <n v="0.76143103246416566"/>
    <n v="36908"/>
    <s v="OLYMPIA HEIGHTS ELEMENTARY SCHOOL"/>
    <m/>
    <m/>
    <n v="481"/>
    <n v="532"/>
    <m/>
    <m/>
    <n v="481"/>
    <n v="0.90413533834586468"/>
  </r>
  <r>
    <x v="12"/>
    <n v="0.76143103246416566"/>
    <n v="36493"/>
    <s v="DR. ROBERT B. INGRAM/OPA-LOCKA ELEMENTARY SCHOOL"/>
    <m/>
    <m/>
    <n v="433"/>
    <n v="441"/>
    <m/>
    <m/>
    <n v="433"/>
    <n v="0.98185941043083902"/>
  </r>
  <r>
    <x v="12"/>
    <n v="0.76143103246416566"/>
    <n v="36738"/>
    <s v="ORCHARD VILLA ELEMENTARY SCHOOL"/>
    <m/>
    <m/>
    <n v="415"/>
    <n v="433"/>
    <m/>
    <m/>
    <n v="415"/>
    <n v="0.95842956120092382"/>
  </r>
  <r>
    <x v="12"/>
    <n v="0.76143103246416566"/>
    <n v="36852"/>
    <s v="PALMETTO ELEMENTARY SCHOOL"/>
    <m/>
    <m/>
    <n v="149"/>
    <n v="616"/>
    <m/>
    <m/>
    <n v="149"/>
    <n v="0.24188311688311689"/>
  </r>
  <r>
    <x v="12"/>
    <n v="0.76143103246416566"/>
    <n v="36331"/>
    <s v="PALM LAKES ELEMENTARY SCHOOL"/>
    <m/>
    <m/>
    <n v="608"/>
    <n v="721"/>
    <m/>
    <m/>
    <n v="608"/>
    <n v="0.84327323162274614"/>
  </r>
  <r>
    <x v="12"/>
    <n v="0.76143103246416566"/>
    <n v="36318"/>
    <s v="PALM SPRINGS ELEMENTARY SCHOOL"/>
    <m/>
    <m/>
    <n v="560"/>
    <n v="635"/>
    <m/>
    <m/>
    <n v="560"/>
    <n v="0.88188976377952755"/>
  </r>
  <r>
    <x v="12"/>
    <n v="0.76143103246416566"/>
    <n v="36343"/>
    <s v="PALM SPRINGS NORTH ELEMENTARY SCHOOL"/>
    <m/>
    <m/>
    <n v="758"/>
    <n v="1038"/>
    <m/>
    <m/>
    <n v="758"/>
    <n v="0.73025048169556839"/>
  </r>
  <r>
    <x v="12"/>
    <n v="0.76143103246416566"/>
    <n v="36521"/>
    <s v="PARKVIEW ELEMENTARY SCHOOL"/>
    <m/>
    <m/>
    <n v="315"/>
    <n v="333"/>
    <m/>
    <m/>
    <n v="315"/>
    <n v="0.94594594594594594"/>
  </r>
  <r>
    <x v="12"/>
    <n v="0.76143103246416566"/>
    <n v="36954"/>
    <s v="PARKWAY ELEMENTARY SCHOOL"/>
    <m/>
    <m/>
    <n v="324"/>
    <n v="346"/>
    <m/>
    <m/>
    <n v="324"/>
    <n v="0.93641618497109824"/>
  </r>
  <r>
    <x v="12"/>
    <n v="0.76143103246416566"/>
    <n v="36867"/>
    <s v="DR. HENRY E. PERRINE ACADEMY OF THE ARTS"/>
    <m/>
    <m/>
    <n v="549"/>
    <n v="777"/>
    <m/>
    <m/>
    <n v="549"/>
    <n v="0.70656370656370659"/>
  </r>
  <r>
    <x v="12"/>
    <n v="0.76143103246416566"/>
    <n v="36459"/>
    <s v="IRVING &amp; BEATRICE PESKOE K-8 CENTER"/>
    <m/>
    <m/>
    <n v="788"/>
    <n v="853"/>
    <m/>
    <m/>
    <n v="788"/>
    <n v="0.92379835873388039"/>
  </r>
  <r>
    <x v="12"/>
    <n v="0.76143103246416566"/>
    <n v="36747"/>
    <s v="KELSEY L. PHARR ELEMENTARY SCHOOL"/>
    <m/>
    <m/>
    <n v="312"/>
    <n v="320"/>
    <m/>
    <m/>
    <n v="312"/>
    <n v="0.97499999999999998"/>
  </r>
  <r>
    <x v="12"/>
    <n v="0.76143103246416566"/>
    <n v="36846"/>
    <s v="PINECREST ELEMENTARY SCHOOL"/>
    <m/>
    <m/>
    <n v="178"/>
    <n v="1032"/>
    <m/>
    <m/>
    <n v="178"/>
    <n v="0.17248062015503876"/>
  </r>
  <r>
    <x v="12"/>
    <n v="0.76143103246416566"/>
    <n v="36863"/>
    <s v="PINE LAKE ELEMENTARY SCHOOL"/>
    <m/>
    <m/>
    <n v="389"/>
    <n v="408"/>
    <m/>
    <m/>
    <n v="389"/>
    <n v="0.95343137254901966"/>
  </r>
  <r>
    <x v="12"/>
    <n v="0.76143103246416566"/>
    <n v="36962"/>
    <s v="PINE VILLA ELEMENTARY SCHOOL"/>
    <m/>
    <m/>
    <n v="417"/>
    <n v="424"/>
    <m/>
    <m/>
    <n v="417"/>
    <n v="0.98349056603773588"/>
  </r>
  <r>
    <x v="12"/>
    <n v="0.76143103246416566"/>
    <n v="36942"/>
    <s v="HENRY E.S. REEVES ELEMENTARY SCHOOL"/>
    <m/>
    <m/>
    <n v="664"/>
    <n v="691"/>
    <m/>
    <m/>
    <n v="664"/>
    <n v="0.96092619392185241"/>
  </r>
  <r>
    <x v="12"/>
    <n v="0.76143103246416566"/>
    <n v="36804"/>
    <s v="POINCIANA PARK ELEMENTARY SCHOOL"/>
    <m/>
    <m/>
    <n v="381"/>
    <n v="409"/>
    <m/>
    <m/>
    <n v="381"/>
    <n v="0.93154034229828853"/>
  </r>
  <r>
    <x v="12"/>
    <n v="0.76143103246416566"/>
    <n v="37074"/>
    <s v="DR. GILBERT L. PORTER ELEMENTARY SCHOOL"/>
    <m/>
    <m/>
    <n v="536"/>
    <n v="756"/>
    <m/>
    <m/>
    <n v="536"/>
    <n v="0.70899470899470896"/>
  </r>
  <r>
    <x v="12"/>
    <n v="0.76143103246416566"/>
    <n v="36492"/>
    <s v="RAINBOW PARK ELEMENTARY SCHOOL"/>
    <m/>
    <m/>
    <n v="398"/>
    <n v="412"/>
    <m/>
    <m/>
    <n v="398"/>
    <n v="0.96601941747572817"/>
  </r>
  <r>
    <x v="12"/>
    <n v="0.76143103246416566"/>
    <n v="36450"/>
    <s v="REDLAND ELEMENTARY SCHOOL"/>
    <m/>
    <m/>
    <n v="744"/>
    <n v="846"/>
    <m/>
    <m/>
    <n v="744"/>
    <n v="0.87943262411347523"/>
  </r>
  <r>
    <x v="12"/>
    <n v="0.76143103246416566"/>
    <n v="36440"/>
    <s v="REDONDO ELEMENTARY SCHOOL"/>
    <m/>
    <m/>
    <n v="632"/>
    <n v="643"/>
    <m/>
    <m/>
    <n v="632"/>
    <n v="0.98289269051321926"/>
  </r>
  <r>
    <x v="12"/>
    <n v="0.76143103246416566"/>
    <n v="36866"/>
    <s v="ETHEL F. BECKFORD/RICHMOND ELEMENTARY SCHOOL"/>
    <m/>
    <m/>
    <n v="99"/>
    <n v="104"/>
    <m/>
    <m/>
    <n v="99"/>
    <n v="0.95192307692307687"/>
  </r>
  <r>
    <x v="12"/>
    <n v="0.76143103246416566"/>
    <n v="36641"/>
    <s v="RIVERSIDE ELEMENTARY COMMUNITY SCHOOL"/>
    <m/>
    <m/>
    <n v="1255"/>
    <n v="1295"/>
    <m/>
    <m/>
    <n v="1255"/>
    <n v="0.96911196911196906"/>
  </r>
  <r>
    <x v="12"/>
    <n v="0.76143103246416566"/>
    <n v="37049"/>
    <s v="JANE S. ROBERTS K-8 CENTER"/>
    <m/>
    <m/>
    <n v="532"/>
    <n v="859"/>
    <m/>
    <m/>
    <n v="532"/>
    <n v="0.61932479627473802"/>
  </r>
  <r>
    <x v="12"/>
    <n v="0.76143103246416566"/>
    <n v="36904"/>
    <s v="ROCKWAY ELEMENTARY SCHOOL"/>
    <m/>
    <m/>
    <n v="333"/>
    <n v="418"/>
    <m/>
    <m/>
    <n v="333"/>
    <n v="0.79665071770334928"/>
  </r>
  <r>
    <x v="12"/>
    <n v="0.76143103246416566"/>
    <n v="36989"/>
    <s v="ROYAL GREEN ELEMENTARY SCHOOL"/>
    <m/>
    <m/>
    <n v="529"/>
    <n v="586"/>
    <m/>
    <m/>
    <n v="529"/>
    <n v="0.90273037542662116"/>
  </r>
  <r>
    <x v="12"/>
    <n v="0.76143103246416566"/>
    <n v="36909"/>
    <s v="ROYAL PALM ELEMENTARY SCHOOL"/>
    <m/>
    <m/>
    <n v="526"/>
    <n v="583"/>
    <m/>
    <m/>
    <n v="526"/>
    <n v="0.902229845626072"/>
  </r>
  <r>
    <x v="12"/>
    <n v="0.76143103246416566"/>
    <n v="36893"/>
    <s v="GERTRUDE K. EDLEMAN/SABAL PALM ELEMENTARY SCHOOL"/>
    <m/>
    <m/>
    <n v="653"/>
    <n v="692"/>
    <m/>
    <m/>
    <n v="653"/>
    <n v="0.94364161849710981"/>
  </r>
  <r>
    <x v="12"/>
    <n v="0.76143103246416566"/>
    <n v="36758"/>
    <s v="SANTA CLARA ELEMENTARY SCHOOL"/>
    <m/>
    <m/>
    <n v="588"/>
    <n v="597"/>
    <m/>
    <m/>
    <n v="588"/>
    <n v="0.98492462311557794"/>
  </r>
  <r>
    <x v="12"/>
    <n v="0.76143103246416566"/>
    <n v="36958"/>
    <s v="SCOTT LAKE ELEMENTARY SCHOOL"/>
    <m/>
    <m/>
    <n v="431"/>
    <n v="483"/>
    <m/>
    <m/>
    <n v="431"/>
    <n v="0.89233954451345754"/>
  </r>
  <r>
    <x v="12"/>
    <n v="0.76143103246416566"/>
    <n v="36773"/>
    <s v="SEMINOLE ELEMENTARY SCHOOL"/>
    <m/>
    <m/>
    <n v="492"/>
    <n v="584"/>
    <m/>
    <m/>
    <n v="492"/>
    <n v="0.84246575342465757"/>
  </r>
  <r>
    <x v="12"/>
    <n v="0.76143103246416566"/>
    <n v="36632"/>
    <s v="SHADOWLAWN ELEMENTARY SCHOOL"/>
    <m/>
    <m/>
    <n v="251"/>
    <n v="255"/>
    <m/>
    <m/>
    <n v="251"/>
    <n v="0.98431372549019602"/>
  </r>
  <r>
    <x v="12"/>
    <n v="0.76143103246416566"/>
    <n v="36688"/>
    <s v="SHENANDOAH ELEMENTARY SCHOOL"/>
    <m/>
    <m/>
    <n v="946"/>
    <n v="1017"/>
    <m/>
    <m/>
    <n v="946"/>
    <n v="0.9301868239921337"/>
  </r>
  <r>
    <x v="12"/>
    <n v="0.76143103246416566"/>
    <n v="16035591"/>
    <s v="DAVID LAWRENCE JR. K-8 CENTER"/>
    <m/>
    <m/>
    <n v="1324"/>
    <n v="1655"/>
    <m/>
    <m/>
    <n v="1324"/>
    <n v="0.8"/>
  </r>
  <r>
    <x v="12"/>
    <n v="0.76143103246416566"/>
    <n v="36348"/>
    <s v="BEN SHEPPARD ELEMENTARY SCHOOL"/>
    <m/>
    <m/>
    <n v="931"/>
    <n v="1002"/>
    <m/>
    <m/>
    <n v="931"/>
    <n v="0.92914171656686628"/>
  </r>
  <r>
    <x v="12"/>
    <n v="0.76143103246416566"/>
    <n v="36649"/>
    <s v="SILVER BLUFF ELEMENTARY SCHOOL"/>
    <m/>
    <m/>
    <n v="472"/>
    <n v="581"/>
    <m/>
    <m/>
    <n v="472"/>
    <n v="0.81239242685025814"/>
  </r>
  <r>
    <x v="12"/>
    <n v="0.76143103246416566"/>
    <n v="16080437"/>
    <s v="ACADEMY FOR INTERNATIONAL EDUCATION CHARTER SCHOOL"/>
    <m/>
    <m/>
    <n v="226"/>
    <n v="448"/>
    <m/>
    <m/>
    <n v="226"/>
    <n v="0.5044642857142857"/>
  </r>
  <r>
    <x v="12"/>
    <n v="0.76143103246416566"/>
    <n v="36354"/>
    <s v="ERNEST R. GRAHAM K-8 ACADEMY"/>
    <m/>
    <m/>
    <n v="1218"/>
    <n v="1418"/>
    <m/>
    <m/>
    <n v="1218"/>
    <n v="0.85895627644569816"/>
  </r>
  <r>
    <x v="12"/>
    <n v="0.76143103246416566"/>
    <n v="222119"/>
    <s v="DR. CARLOS J. FINLAY ELEMENTARY"/>
    <m/>
    <m/>
    <n v="471"/>
    <n v="548"/>
    <m/>
    <m/>
    <n v="471"/>
    <n v="0.85948905109489049"/>
  </r>
  <r>
    <x v="12"/>
    <n v="0.76143103246416566"/>
    <n v="36500"/>
    <s v="SKYWAY ELEMENTARY SCHOOL"/>
    <m/>
    <m/>
    <n v="326"/>
    <n v="357"/>
    <m/>
    <m/>
    <n v="326"/>
    <n v="0.91316526610644255"/>
  </r>
  <r>
    <x v="12"/>
    <n v="0.76143103246416566"/>
    <n v="36715"/>
    <s v="SOUTH POINTE ELEMENTARY SCHOOL"/>
    <m/>
    <m/>
    <n v="301"/>
    <n v="582"/>
    <m/>
    <m/>
    <n v="301"/>
    <n v="0.51718213058419249"/>
  </r>
  <r>
    <x v="12"/>
    <n v="0.76143103246416566"/>
    <n v="37017"/>
    <s v="JOHN I. SMITH K-8 CENTER"/>
    <m/>
    <m/>
    <n v="771"/>
    <n v="1616"/>
    <m/>
    <m/>
    <n v="771"/>
    <n v="0.47710396039603958"/>
  </r>
  <r>
    <x v="12"/>
    <n v="0.76143103246416566"/>
    <n v="36969"/>
    <s v="SNAPPER CREEK ELEMENTARY SCHOOL"/>
    <m/>
    <m/>
    <n v="336"/>
    <n v="495"/>
    <m/>
    <m/>
    <n v="336"/>
    <n v="0.67878787878787883"/>
  </r>
  <r>
    <x v="12"/>
    <n v="0.76143103246416566"/>
    <n v="36490"/>
    <s v="N DADE CENTER FOR MODERN LANGUAGE"/>
    <m/>
    <m/>
    <n v="298"/>
    <n v="384"/>
    <m/>
    <m/>
    <n v="298"/>
    <n v="0.77604166666666663"/>
  </r>
  <r>
    <x v="12"/>
    <n v="0.76143103246416566"/>
    <n v="227185"/>
    <s v="HUBERT O. SIBLEY K-8 ACADEMY"/>
    <m/>
    <m/>
    <n v="779"/>
    <n v="835"/>
    <m/>
    <m/>
    <n v="779"/>
    <n v="0.93293413173652695"/>
  </r>
  <r>
    <x v="12"/>
    <n v="0.76143103246416566"/>
    <n v="36302"/>
    <s v="SOUTH HIALEAH ELEMENTARY SCHOOL"/>
    <m/>
    <m/>
    <n v="993"/>
    <n v="1068"/>
    <m/>
    <m/>
    <n v="993"/>
    <n v="0.9297752808988764"/>
  </r>
  <r>
    <x v="12"/>
    <n v="0.76143103246416566"/>
    <n v="36760"/>
    <s v="SOUTH MIAMI K-8 CENTER"/>
    <m/>
    <m/>
    <n v="539"/>
    <n v="853"/>
    <m/>
    <m/>
    <n v="539"/>
    <n v="0.63188745603751462"/>
  </r>
  <r>
    <x v="12"/>
    <n v="0.76143103246416566"/>
    <n v="37014"/>
    <s v="SOUTH MIAMI HEIGHTS ELEMENTARY"/>
    <m/>
    <m/>
    <n v="637"/>
    <n v="689"/>
    <m/>
    <m/>
    <n v="637"/>
    <n v="0.92452830188679247"/>
  </r>
  <r>
    <x v="12"/>
    <n v="0.76143103246416566"/>
    <n v="36646"/>
    <s v="SOUTHSIDE ELEMENTARY SCHOOL"/>
    <m/>
    <m/>
    <n v="480"/>
    <n v="770"/>
    <m/>
    <m/>
    <n v="480"/>
    <n v="0.62337662337662336"/>
  </r>
  <r>
    <x v="12"/>
    <n v="0.76143103246416566"/>
    <n v="36928"/>
    <s v="SPRINGVIEW ELEMENTARY SCHOOL"/>
    <m/>
    <m/>
    <n v="266"/>
    <n v="467"/>
    <m/>
    <m/>
    <n v="266"/>
    <n v="0.56959314775160597"/>
  </r>
  <r>
    <x v="12"/>
    <n v="0.76143103246416566"/>
    <n v="36967"/>
    <s v="E.W.F. STIRRUP ELEMENTARY SCHOOL"/>
    <m/>
    <m/>
    <n v="747"/>
    <n v="955"/>
    <m/>
    <m/>
    <n v="747"/>
    <n v="0.78219895287958119"/>
  </r>
  <r>
    <x v="12"/>
    <n v="0.76143103246416566"/>
    <n v="36769"/>
    <s v="SUNSET ELEMENTARY SCHOOL"/>
    <m/>
    <m/>
    <n v="167"/>
    <n v="1183"/>
    <m/>
    <m/>
    <n v="167"/>
    <n v="0.14116652578191038"/>
  </r>
  <r>
    <x v="12"/>
    <n v="0.76143103246416566"/>
    <n v="36977"/>
    <s v="SUNSET PARK ELEMENTARY SCHOOL"/>
    <m/>
    <m/>
    <n v="483"/>
    <n v="654"/>
    <m/>
    <m/>
    <n v="483"/>
    <n v="0.73853211009174313"/>
  </r>
  <r>
    <x v="12"/>
    <n v="0.76143103246416566"/>
    <n v="36978"/>
    <s v="SWEETWATER ELEMENTARY SCHOOL"/>
    <m/>
    <m/>
    <n v="688"/>
    <n v="736"/>
    <m/>
    <m/>
    <n v="688"/>
    <n v="0.93478260869565222"/>
  </r>
  <r>
    <x v="12"/>
    <n v="0.76143103246416566"/>
    <n v="36830"/>
    <s v="SYLVANIA HEIGHTS ELEMENTARY SCHOOL"/>
    <m/>
    <m/>
    <n v="378"/>
    <n v="466"/>
    <m/>
    <m/>
    <n v="378"/>
    <n v="0.81115879828326176"/>
  </r>
  <r>
    <x v="12"/>
    <n v="0.76143103246416566"/>
    <n v="36732"/>
    <s v="TREASURE ISLAND ELEMENTARY SCHOOL"/>
    <m/>
    <m/>
    <n v="454"/>
    <n v="562"/>
    <m/>
    <m/>
    <n v="454"/>
    <n v="0.80782918149466187"/>
  </r>
  <r>
    <x v="12"/>
    <n v="0.76143103246416566"/>
    <n v="36913"/>
    <s v="TROPICAL ELEMENTARY SCHOOL"/>
    <m/>
    <m/>
    <n v="350"/>
    <n v="414"/>
    <m/>
    <m/>
    <n v="350"/>
    <n v="0.84541062801932365"/>
  </r>
  <r>
    <x v="12"/>
    <n v="0.76143103246416566"/>
    <n v="36658"/>
    <s v="FRANCES S. TUCKER ELEMENTARY SCHOOL"/>
    <m/>
    <m/>
    <n v="366"/>
    <n v="407"/>
    <m/>
    <m/>
    <n v="366"/>
    <n v="0.89926289926289926"/>
  </r>
  <r>
    <x v="12"/>
    <n v="0.76143103246416566"/>
    <n v="36317"/>
    <s v="TWIN LAKES ELEMENTARY SCHOOL"/>
    <m/>
    <m/>
    <n v="420"/>
    <n v="488"/>
    <m/>
    <m/>
    <n v="420"/>
    <n v="0.86065573770491799"/>
  </r>
  <r>
    <x v="12"/>
    <n v="0.76143103246416566"/>
    <n v="36986"/>
    <s v="VILLAGE GREEN ELEMENTARY SCHOOL"/>
    <m/>
    <m/>
    <n v="271"/>
    <n v="346"/>
    <m/>
    <m/>
    <n v="271"/>
    <n v="0.7832369942196532"/>
  </r>
  <r>
    <x v="12"/>
    <n v="0.76143103246416566"/>
    <n v="36850"/>
    <s v="VINELAND K-8 CENTER"/>
    <m/>
    <m/>
    <n v="377"/>
    <n v="942"/>
    <m/>
    <m/>
    <n v="377"/>
    <n v="0.4002123142250531"/>
  </r>
  <r>
    <x v="12"/>
    <n v="0.76143103246416566"/>
    <n v="36312"/>
    <s v="MAE M. WALTERS ELEMENTARY SCHOOL"/>
    <m/>
    <m/>
    <n v="516"/>
    <n v="566"/>
    <m/>
    <m/>
    <n v="516"/>
    <n v="0.91166077738515905"/>
  </r>
  <r>
    <x v="12"/>
    <n v="0.76143103246416566"/>
    <n v="36447"/>
    <s v="WEST HOMESTEAD K-8 CENTER"/>
    <m/>
    <m/>
    <n v="765"/>
    <n v="773"/>
    <m/>
    <m/>
    <n v="765"/>
    <n v="0.98965071151358341"/>
  </r>
  <r>
    <x v="12"/>
    <n v="0.76143103246416566"/>
    <n v="36786"/>
    <s v="HENRY S. WEST LABORATORY SCHOOL"/>
    <m/>
    <m/>
    <n v="69"/>
    <n v="314"/>
    <m/>
    <m/>
    <n v="69"/>
    <n v="0.21974522292993631"/>
  </r>
  <r>
    <x v="12"/>
    <n v="0.76143103246416566"/>
    <n v="36797"/>
    <s v="DR. HENRY W. MACK/WEST LITTLE RIVER K-8 CENTER"/>
    <m/>
    <m/>
    <n v="482"/>
    <n v="494"/>
    <m/>
    <m/>
    <n v="482"/>
    <n v="0.97570850202429149"/>
  </r>
  <r>
    <x v="12"/>
    <n v="0.76143103246416566"/>
    <n v="36939"/>
    <s v="CARRIE P. MEEK/WESTVIEW K-8 CENTER"/>
    <m/>
    <m/>
    <n v="711"/>
    <n v="741"/>
    <m/>
    <m/>
    <n v="711"/>
    <n v="0.95951417004048578"/>
  </r>
  <r>
    <x v="12"/>
    <n v="0.76143103246416566"/>
    <n v="36691"/>
    <s v="PHYLLIS WHEATLEY ELEMENTARY SCHOOL"/>
    <m/>
    <m/>
    <n v="249"/>
    <n v="251"/>
    <m/>
    <m/>
    <n v="249"/>
    <n v="0.99203187250996017"/>
  </r>
  <r>
    <x v="12"/>
    <n v="0.76143103246416566"/>
    <n v="36875"/>
    <s v="WHISPERING PINES ELEMENTARY SCHOOL"/>
    <m/>
    <m/>
    <n v="406"/>
    <n v="637"/>
    <m/>
    <m/>
    <n v="406"/>
    <n v="0.63736263736263732"/>
  </r>
  <r>
    <x v="12"/>
    <n v="0.76143103246416566"/>
    <n v="37042"/>
    <s v="WINSTON PARK K-8 CENTER"/>
    <m/>
    <m/>
    <n v="1015"/>
    <n v="1372"/>
    <m/>
    <m/>
    <n v="1015"/>
    <n v="0.73979591836734693"/>
  </r>
  <r>
    <x v="12"/>
    <n v="0.76143103246416566"/>
    <n v="36495"/>
    <s v="NATHAN B. YOUNG ELEMENTARY SCHOOL"/>
    <m/>
    <m/>
    <n v="383"/>
    <n v="385"/>
    <m/>
    <m/>
    <n v="383"/>
    <n v="0.9948051948051948"/>
  </r>
  <r>
    <x v="12"/>
    <n v="0.76143103246416566"/>
    <n v="37067"/>
    <s v="DR. EDWARD L. WHIGHAM ELEMENTARY SCHOOL"/>
    <m/>
    <m/>
    <n v="704"/>
    <n v="873"/>
    <m/>
    <m/>
    <n v="704"/>
    <n v="0.8064146620847652"/>
  </r>
  <r>
    <x v="12"/>
    <n v="0.76143103246416566"/>
    <n v="36902"/>
    <s v="CHARLES DAVID WYCHE, JR ELEMENTARY SCHOOL"/>
    <m/>
    <m/>
    <n v="645"/>
    <n v="756"/>
    <m/>
    <m/>
    <n v="645"/>
    <n v="0.85317460317460314"/>
  </r>
  <r>
    <x v="12"/>
    <n v="0.76143103246416566"/>
    <n v="37072"/>
    <s v="HERBERT A. AMMONS MIDDLE SCHOOL"/>
    <m/>
    <m/>
    <n v="564"/>
    <n v="1216"/>
    <m/>
    <m/>
    <n v="564"/>
    <n v="0.46381578947368424"/>
  </r>
  <r>
    <x v="12"/>
    <n v="0.76143103246416566"/>
    <n v="36748"/>
    <s v="ALLAPATTAH MIDDLE SCHOOL"/>
    <m/>
    <m/>
    <n v="400"/>
    <n v="454"/>
    <m/>
    <m/>
    <n v="400"/>
    <n v="0.88105726872246692"/>
  </r>
  <r>
    <x v="12"/>
    <n v="0.76143103246416566"/>
    <n v="37052"/>
    <s v="ARVIDA MIDDLE SCHOOL"/>
    <m/>
    <m/>
    <n v="833"/>
    <n v="1404"/>
    <m/>
    <m/>
    <n v="833"/>
    <n v="0.59330484330484334"/>
  </r>
  <r>
    <x v="12"/>
    <n v="0.76143103246416566"/>
    <n v="16036340"/>
    <s v="ANDOVER MIDDLE SCHOOL"/>
    <m/>
    <m/>
    <n v="634"/>
    <n v="709"/>
    <m/>
    <m/>
    <n v="634"/>
    <n v="0.89421720733427368"/>
  </r>
  <r>
    <x v="12"/>
    <n v="0.76143103246416566"/>
    <n v="36743"/>
    <s v="BROWNSVILLE MIDDLE SCHOOL"/>
    <m/>
    <m/>
    <n v="481"/>
    <n v="514"/>
    <m/>
    <m/>
    <n v="481"/>
    <n v="0.93579766536964981"/>
  </r>
  <r>
    <x v="12"/>
    <n v="0.76143103246416566"/>
    <n v="37032"/>
    <s v="PAUL W. BELL MIDDLE SCHOOL"/>
    <m/>
    <m/>
    <n v="435"/>
    <n v="501"/>
    <m/>
    <m/>
    <n v="435"/>
    <n v="0.86826347305389218"/>
  </r>
  <r>
    <x v="12"/>
    <n v="0.76143103246416566"/>
    <n v="36502"/>
    <s v="CAROL CITY MIDDLE SCHOOL"/>
    <m/>
    <m/>
    <n v="380"/>
    <n v="395"/>
    <m/>
    <m/>
    <n v="380"/>
    <n v="0.96202531645569622"/>
  </r>
  <r>
    <x v="12"/>
    <n v="0.76143103246416566"/>
    <n v="16036346"/>
    <s v="ZELDA GLAZER MIDDLE SCHOOL"/>
    <m/>
    <m/>
    <n v="1097"/>
    <n v="1633"/>
    <m/>
    <m/>
    <n v="1097"/>
    <n v="0.67176974892835273"/>
  </r>
  <r>
    <x v="12"/>
    <n v="0.76143103246416566"/>
    <n v="36657"/>
    <s v="GEORGE WASHINGTON CARVER MIDDLE SCHOOL"/>
    <m/>
    <m/>
    <n v="251"/>
    <n v="996"/>
    <m/>
    <m/>
    <n v="251"/>
    <n v="0.25200803212851408"/>
  </r>
  <r>
    <x v="12"/>
    <n v="0.76143103246416566"/>
    <n v="37066"/>
    <s v="CUTLER BAY ACADEMY OF ADVANCED STUDIES, CENTENNIAL CAMPUS"/>
    <m/>
    <m/>
    <n v="315"/>
    <n v="471"/>
    <m/>
    <m/>
    <n v="315"/>
    <n v="0.66878980891719741"/>
  </r>
  <r>
    <x v="12"/>
    <n v="0.76143103246416566"/>
    <n v="36624"/>
    <s v="CITRUS GROVE MIDDLE SCHOOL"/>
    <m/>
    <m/>
    <n v="833"/>
    <n v="879"/>
    <m/>
    <m/>
    <n v="833"/>
    <n v="0.94766780432309439"/>
  </r>
  <r>
    <x v="12"/>
    <n v="0.76143103246416566"/>
    <n v="36879"/>
    <s v="CUTLER BAY ACADEMY OF ADVANCED STUDIES, CUTLER RIDGE CAMPUS"/>
    <m/>
    <m/>
    <n v="864"/>
    <n v="965"/>
    <m/>
    <m/>
    <n v="864"/>
    <n v="0.89533678756476687"/>
  </r>
  <r>
    <x v="12"/>
    <n v="0.76143103246416566"/>
    <n v="36966"/>
    <s v="RUBEN DARIO MIDDLE SCHOOL"/>
    <m/>
    <m/>
    <n v="543"/>
    <n v="604"/>
    <m/>
    <m/>
    <n v="543"/>
    <n v="0.89900662251655628"/>
  </r>
  <r>
    <x v="12"/>
    <n v="0.76143103246416566"/>
    <n v="222166"/>
    <s v="LAWTON CHILES MIDDLE SCHOOL"/>
    <m/>
    <m/>
    <n v="667"/>
    <n v="842"/>
    <m/>
    <m/>
    <n v="667"/>
    <n v="0.79216152019002373"/>
  </r>
  <r>
    <x v="12"/>
    <n v="0.76143103246416566"/>
    <n v="36315"/>
    <s v="HENRY H. FILER MIDDLE SCHOOL"/>
    <m/>
    <m/>
    <n v="825"/>
    <n v="877"/>
    <m/>
    <m/>
    <n v="825"/>
    <n v="0.94070695553021666"/>
  </r>
  <r>
    <x v="12"/>
    <n v="0.76143103246416566"/>
    <n v="36971"/>
    <s v="GLADES MIDDLE SCHOOL"/>
    <m/>
    <m/>
    <n v="724"/>
    <n v="1037"/>
    <m/>
    <m/>
    <n v="724"/>
    <n v="0.69816779170684662"/>
  </r>
  <r>
    <x v="12"/>
    <n v="0.76143103246416566"/>
    <n v="37073"/>
    <s v="HAMMOCKS MIDDLE SCHOOL"/>
    <m/>
    <m/>
    <n v="717"/>
    <n v="948"/>
    <m/>
    <m/>
    <n v="717"/>
    <n v="0.75632911392405067"/>
  </r>
  <r>
    <x v="12"/>
    <n v="0.76143103246416566"/>
    <n v="36319"/>
    <s v="HIALEAH MIDDLE SCHOOL"/>
    <m/>
    <m/>
    <n v="693"/>
    <n v="738"/>
    <m/>
    <m/>
    <n v="693"/>
    <n v="0.93902439024390238"/>
  </r>
  <r>
    <x v="12"/>
    <n v="0.76143103246416566"/>
    <n v="37024"/>
    <s v="HIGHLAND OAKS MIDDLE SCHOOL"/>
    <m/>
    <m/>
    <n v="814"/>
    <n v="1119"/>
    <m/>
    <m/>
    <n v="814"/>
    <n v="0.72743521000893652"/>
  </r>
  <r>
    <x v="12"/>
    <n v="0.76143103246416566"/>
    <n v="36444"/>
    <s v="HOMESTEAD MIDDLE SCHOOL"/>
    <m/>
    <m/>
    <n v="644"/>
    <n v="682"/>
    <m/>
    <m/>
    <n v="644"/>
    <n v="0.94428152492668627"/>
  </r>
  <r>
    <x v="12"/>
    <n v="0.76143103246416566"/>
    <n v="36945"/>
    <s v="THOMAS JEFFERSON MIDDLE SCHOOL"/>
    <m/>
    <m/>
    <n v="309"/>
    <n v="331"/>
    <m/>
    <m/>
    <n v="309"/>
    <n v="0.93353474320241692"/>
  </r>
  <r>
    <x v="12"/>
    <n v="0.76143103246416566"/>
    <n v="36894"/>
    <s v="JOHN F. KENNEDY MIDDLE SCHOOL"/>
    <m/>
    <m/>
    <n v="1010"/>
    <n v="1139"/>
    <m/>
    <m/>
    <n v="1010"/>
    <n v="0.88674275680421422"/>
  </r>
  <r>
    <x v="12"/>
    <n v="0.76143103246416566"/>
    <n v="36628"/>
    <s v="KINLOCH PARK MIDDLE SCHOOL"/>
    <m/>
    <m/>
    <n v="1017"/>
    <n v="1088"/>
    <m/>
    <m/>
    <n v="1017"/>
    <n v="0.93474264705882348"/>
  </r>
  <r>
    <x v="12"/>
    <n v="0.76143103246416566"/>
    <n v="36503"/>
    <s v="LAKE STEVENS MIDDLE SCHOOL"/>
    <m/>
    <m/>
    <n v="569"/>
    <n v="599"/>
    <m/>
    <m/>
    <n v="569"/>
    <n v="0.94991652754590983"/>
  </r>
  <r>
    <x v="12"/>
    <n v="0.76143103246416566"/>
    <n v="210309"/>
    <s v="JOSE DE DIEGO MIDDLE SCHOOL"/>
    <m/>
    <m/>
    <n v="621"/>
    <n v="656"/>
    <m/>
    <m/>
    <n v="621"/>
    <n v="0.94664634146341464"/>
  </r>
  <r>
    <x v="12"/>
    <n v="0.76143103246416566"/>
    <n v="36796"/>
    <s v="MADISON MIDDLE SCHOOL"/>
    <m/>
    <m/>
    <n v="458"/>
    <n v="477"/>
    <m/>
    <m/>
    <n v="458"/>
    <n v="0.96016771488469599"/>
  </r>
  <r>
    <x v="12"/>
    <n v="0.76143103246416566"/>
    <n v="36812"/>
    <s v="HORACE MANN MIDDLE SCHOOL"/>
    <m/>
    <m/>
    <n v="691"/>
    <n v="731"/>
    <m/>
    <m/>
    <n v="691"/>
    <n v="0.94528043775649795"/>
  </r>
  <r>
    <x v="12"/>
    <n v="0.76143103246416566"/>
    <n v="37034"/>
    <s v="HOWARD D. MCMILLAN MIDDLE SCHOOL"/>
    <m/>
    <m/>
    <n v="702"/>
    <n v="889"/>
    <m/>
    <m/>
    <n v="702"/>
    <n v="0.78965129358830144"/>
  </r>
  <r>
    <x v="12"/>
    <n v="0.76143103246416566"/>
    <n v="36338"/>
    <s v="MIAMI LAKES MIDDLE SCHOOL"/>
    <m/>
    <m/>
    <n v="920"/>
    <n v="1093"/>
    <m/>
    <m/>
    <n v="920"/>
    <n v="0.84172003659652328"/>
  </r>
  <r>
    <x v="12"/>
    <n v="0.76143103246416566"/>
    <n v="36935"/>
    <s v="MIAMI SPRINGS MIDDLE SCHOOL"/>
    <m/>
    <m/>
    <n v="1057"/>
    <n v="1202"/>
    <m/>
    <m/>
    <n v="1057"/>
    <n v="0.87936772046589018"/>
  </r>
  <r>
    <x v="12"/>
    <n v="0.76143103246416566"/>
    <n v="36719"/>
    <s v="NAUTILUS MIDDLE SCHOOL"/>
    <m/>
    <m/>
    <n v="724"/>
    <n v="1030"/>
    <m/>
    <m/>
    <n v="724"/>
    <n v="0.70291262135922328"/>
  </r>
  <r>
    <x v="12"/>
    <n v="0.76143103246416566"/>
    <n v="36953"/>
    <s v="NORLAND MIDDLE SCHOOL"/>
    <m/>
    <m/>
    <n v="787"/>
    <n v="902"/>
    <m/>
    <m/>
    <n v="787"/>
    <n v="0.8725055432372506"/>
  </r>
  <r>
    <x v="12"/>
    <n v="0.76143103246416566"/>
    <n v="36489"/>
    <s v="NORTH DADE MIDDLE SCHOOL"/>
    <m/>
    <m/>
    <n v="637"/>
    <n v="669"/>
    <m/>
    <m/>
    <n v="637"/>
    <n v="0.95216741405082217"/>
  </r>
  <r>
    <x v="12"/>
    <n v="0.76143103246416566"/>
    <n v="16039013"/>
    <s v="COUNTRY CLUB MIDDLE SCHOOL"/>
    <m/>
    <m/>
    <n v="670"/>
    <n v="757"/>
    <m/>
    <m/>
    <n v="670"/>
    <n v="0.88507265521796563"/>
  </r>
  <r>
    <x v="12"/>
    <n v="0.76143103246416566"/>
    <n v="36891"/>
    <s v="NORTH MIAMI MIDDLE SCHOOL"/>
    <m/>
    <m/>
    <n v="923"/>
    <n v="971"/>
    <m/>
    <m/>
    <n v="923"/>
    <n v="0.95056642636457256"/>
  </r>
  <r>
    <x v="12"/>
    <n v="0.76143103246416566"/>
    <n v="36307"/>
    <s v="PALM SPRINGS MIDDLE SCHOOL"/>
    <m/>
    <m/>
    <n v="952"/>
    <n v="1032"/>
    <m/>
    <m/>
    <n v="952"/>
    <n v="0.92248062015503873"/>
  </r>
  <r>
    <x v="12"/>
    <n v="0.76143103246416566"/>
    <n v="36853"/>
    <s v="PALMETTO MIDDLE SCHOOL"/>
    <m/>
    <m/>
    <n v="426"/>
    <n v="1063"/>
    <m/>
    <m/>
    <n v="426"/>
    <n v="0.40075258701787392"/>
  </r>
  <r>
    <x v="12"/>
    <n v="0.76143103246416566"/>
    <n v="36787"/>
    <s v="PONCE DE LEON MIDDLE SCHOOL"/>
    <m/>
    <m/>
    <n v="964"/>
    <n v="1195"/>
    <m/>
    <m/>
    <n v="964"/>
    <n v="0.80669456066945611"/>
  </r>
  <r>
    <x v="12"/>
    <n v="0.76143103246416566"/>
    <n v="16036339"/>
    <s v="HIALEAH GARDENS MIDDLE SCHOOL"/>
    <m/>
    <m/>
    <n v="1412"/>
    <n v="1677"/>
    <m/>
    <m/>
    <n v="1412"/>
    <n v="0.84197972570065593"/>
  </r>
  <r>
    <x v="12"/>
    <n v="0.76143103246416566"/>
    <n v="36451"/>
    <s v="REDLAND MIDDLE SCHOOL"/>
    <m/>
    <m/>
    <n v="433"/>
    <n v="481"/>
    <m/>
    <m/>
    <n v="433"/>
    <n v="0.9002079002079002"/>
  </r>
  <r>
    <x v="12"/>
    <n v="0.76143103246416566"/>
    <n v="16036347"/>
    <s v="JORGE MAS CANOSA MIDDLE SCHOOL"/>
    <m/>
    <m/>
    <n v="1514"/>
    <n v="1916"/>
    <m/>
    <m/>
    <n v="1514"/>
    <n v="0.79018789144050106"/>
  </r>
  <r>
    <x v="12"/>
    <n v="0.76143103246416566"/>
    <n v="37010"/>
    <s v="RICHMOND HEIGHTS MIDDLE SCHOOL"/>
    <m/>
    <m/>
    <n v="533"/>
    <n v="617"/>
    <m/>
    <m/>
    <n v="533"/>
    <n v="0.86385737439222043"/>
  </r>
  <r>
    <x v="12"/>
    <n v="0.76143103246416566"/>
    <n v="36914"/>
    <s v="RIVIERA MIDDLE SCHOOL"/>
    <m/>
    <m/>
    <n v="494"/>
    <n v="597"/>
    <m/>
    <m/>
    <n v="494"/>
    <n v="0.82747068676716917"/>
  </r>
  <r>
    <x v="12"/>
    <n v="0.76143103246416566"/>
    <n v="36903"/>
    <s v="ROCKWAY MIDDLE SCHOOL"/>
    <m/>
    <m/>
    <n v="849"/>
    <n v="1012"/>
    <m/>
    <m/>
    <n v="849"/>
    <n v="0.83893280632411071"/>
  </r>
  <r>
    <x v="12"/>
    <n v="0.76143103246416566"/>
    <n v="36781"/>
    <s v="SHENANDOAH MIDDLE SCHOOL"/>
    <m/>
    <m/>
    <n v="1048"/>
    <n v="1177"/>
    <m/>
    <m/>
    <n v="1048"/>
    <n v="0.89039932030586233"/>
  </r>
  <r>
    <x v="12"/>
    <n v="0.76143103246416566"/>
    <n v="36865"/>
    <s v="SOUTHWOOD MIDDLE SCHOOL"/>
    <m/>
    <m/>
    <n v="780"/>
    <n v="1493"/>
    <m/>
    <m/>
    <n v="780"/>
    <n v="0.52243804420629603"/>
  </r>
  <r>
    <x v="12"/>
    <n v="0.76143103246416566"/>
    <n v="36759"/>
    <s v="SOUTH MIAMI MIDDLE SCHOOL"/>
    <m/>
    <m/>
    <n v="545"/>
    <n v="943"/>
    <m/>
    <m/>
    <n v="545"/>
    <n v="0.57794273594909862"/>
  </r>
  <r>
    <x v="12"/>
    <n v="0.76143103246416566"/>
    <n v="36983"/>
    <s v="W. R. THOMAS MIDDLE SCHOOL"/>
    <m/>
    <m/>
    <n v="928"/>
    <n v="1189"/>
    <m/>
    <m/>
    <n v="928"/>
    <n v="0.78048780487804881"/>
  </r>
  <r>
    <x v="12"/>
    <n v="0.76143103246416566"/>
    <n v="225052"/>
    <s v="LAMAR LOUISE CURRY MIDDLE SCHOOL"/>
    <m/>
    <m/>
    <n v="820"/>
    <n v="1109"/>
    <m/>
    <m/>
    <n v="820"/>
    <n v="0.739404869251578"/>
  </r>
  <r>
    <x v="12"/>
    <n v="0.76143103246416566"/>
    <n v="36828"/>
    <s v="WEST MIAMI MIDDLE SCHOOL"/>
    <m/>
    <m/>
    <n v="734"/>
    <n v="792"/>
    <m/>
    <m/>
    <n v="734"/>
    <n v="0.9267676767676768"/>
  </r>
  <r>
    <x v="12"/>
    <n v="0.76143103246416566"/>
    <n v="16055034"/>
    <s v="MIAMI-DADE ONLINE ACADEMY- VIRTUAL INSTRUCTION PROGRAM"/>
    <m/>
    <m/>
    <n v="114"/>
    <n v="306"/>
    <m/>
    <m/>
    <n v="114"/>
    <n v="0.37254901960784315"/>
  </r>
  <r>
    <x v="12"/>
    <n v="0.76143103246416566"/>
    <n v="16080439"/>
    <s v="ITECH@THOMAS A EDISON EDUCATIONAL CENTER"/>
    <m/>
    <m/>
    <n v="172"/>
    <n v="196"/>
    <m/>
    <m/>
    <n v="172"/>
    <n v="0.87755102040816324"/>
  </r>
  <r>
    <x v="12"/>
    <n v="0.76143103246416566"/>
    <n v="16080440"/>
    <s v="BIOTECH@RICHMOND HEIGHTS 9-12 HIGH SCHOOL"/>
    <m/>
    <m/>
    <n v="169"/>
    <n v="260"/>
    <m/>
    <m/>
    <n v="169"/>
    <n v="0.65"/>
  </r>
  <r>
    <x v="12"/>
    <n v="0.76143103246416566"/>
    <n v="36341"/>
    <s v="AMERICAN SENIOR HIGH SCHOOL"/>
    <m/>
    <m/>
    <n v="1739"/>
    <n v="2170"/>
    <m/>
    <m/>
    <n v="1739"/>
    <n v="0.80138248847926263"/>
  </r>
  <r>
    <x v="12"/>
    <n v="0.76143103246416566"/>
    <n v="16080441"/>
    <s v="CENTER FOR INTERNATIONAL EDUCATION A CAMBRIDGE ASSOCIATE SCHOOL"/>
    <m/>
    <m/>
    <n v="120"/>
    <n v="142"/>
    <m/>
    <m/>
    <n v="120"/>
    <n v="0.84507042253521125"/>
  </r>
  <r>
    <x v="12"/>
    <n v="0.76143103246416566"/>
    <n v="16055033"/>
    <s v="TERRA ENVIRONMENTAL RESEARCH INSTITUTE"/>
    <m/>
    <m/>
    <n v="749"/>
    <n v="1826"/>
    <m/>
    <m/>
    <n v="749"/>
    <n v="0.41018619934282585"/>
  </r>
  <r>
    <x v="12"/>
    <n v="0.76143103246416566"/>
    <n v="16080442"/>
    <s v="MAST@FIU"/>
    <m/>
    <m/>
    <n v="131"/>
    <n v="217"/>
    <m/>
    <m/>
    <n v="131"/>
    <n v="0.60368663594470051"/>
  </r>
  <r>
    <x v="12"/>
    <n v="0.76143103246416566"/>
    <n v="16055036"/>
    <s v="LAW ENFORCEMENT OFFICERS MEMORIAL HIGH SCHOOL"/>
    <m/>
    <m/>
    <n v="282"/>
    <n v="348"/>
    <m/>
    <m/>
    <n v="282"/>
    <n v="0.81034482758620685"/>
  </r>
  <r>
    <x v="12"/>
    <n v="0.76143103246416566"/>
    <n v="169125"/>
    <s v="SCHOOL FOR ADVANCED STUDIES-WOLFSON"/>
    <m/>
    <m/>
    <n v="60"/>
    <n v="112"/>
    <m/>
    <m/>
    <n v="60"/>
    <n v="0.5357142857142857"/>
  </r>
  <r>
    <x v="12"/>
    <n v="0.76143103246416566"/>
    <n v="16039007"/>
    <s v="ALONZO AND TRACY MOURNING SENIOR HIGH BISCAYNE BAY CAMPUS"/>
    <m/>
    <m/>
    <n v="967"/>
    <n v="1565"/>
    <m/>
    <m/>
    <n v="967"/>
    <n v="0.61789137380191694"/>
  </r>
  <r>
    <x v="12"/>
    <n v="0.76143103246416566"/>
    <n v="16039005"/>
    <s v="WESTLAND HIALEAH SENIOR HIGH SCHOOL"/>
    <m/>
    <m/>
    <n v="1793"/>
    <n v="2053"/>
    <m/>
    <m/>
    <n v="1793"/>
    <n v="0.87335606429615198"/>
  </r>
  <r>
    <x v="12"/>
    <n v="0.76143103246416566"/>
    <n v="37048"/>
    <s v="G. HOLMES BRADDOCK SENIOR HIGH"/>
    <m/>
    <m/>
    <n v="2684"/>
    <n v="3574"/>
    <m/>
    <m/>
    <n v="2684"/>
    <n v="0.75097929490766646"/>
  </r>
  <r>
    <x v="12"/>
    <n v="0.76143103246416566"/>
    <n v="16039001"/>
    <s v="YOUNG WOMENS PREPARATORY ACADEMY"/>
    <m/>
    <m/>
    <n v="257"/>
    <n v="401"/>
    <m/>
    <m/>
    <n v="257"/>
    <n v="0.64089775561097262"/>
  </r>
  <r>
    <x v="12"/>
    <n v="0.76143103246416566"/>
    <n v="16039012"/>
    <s v="YOUNG MEN'S PREPARATORY ACADEMY"/>
    <m/>
    <m/>
    <n v="197"/>
    <n v="225"/>
    <m/>
    <m/>
    <n v="197"/>
    <n v="0.87555555555555553"/>
  </r>
  <r>
    <x v="12"/>
    <n v="0.76143103246416566"/>
    <n v="36941"/>
    <s v="SCHOOL FOR ADVANCED STUDIES NORTH"/>
    <m/>
    <m/>
    <n v="70"/>
    <n v="104"/>
    <m/>
    <m/>
    <n v="70"/>
    <n v="0.67307692307692313"/>
  </r>
  <r>
    <x v="12"/>
    <n v="0.76143103246416566"/>
    <n v="16080438"/>
    <s v="LATIN BUILDERS ASSOCIATION CONSTRUCTION AND BUSINESS MANAGEMENT ACADEMY"/>
    <m/>
    <m/>
    <n v="157"/>
    <n v="188"/>
    <m/>
    <m/>
    <n v="157"/>
    <n v="0.83510638297872342"/>
  </r>
  <r>
    <x v="12"/>
    <n v="0.76143103246416566"/>
    <n v="36785"/>
    <s v="CORAL GABLES SENIOR HIGH SCHOOL"/>
    <m/>
    <m/>
    <n v="2408"/>
    <n v="3422"/>
    <m/>
    <m/>
    <n v="2408"/>
    <n v="0.7036820572764465"/>
  </r>
  <r>
    <x v="12"/>
    <n v="0.76143103246416566"/>
    <n v="36700"/>
    <s v="DESIGN &amp; ARCHITECTURE SENIOR HIGH"/>
    <m/>
    <m/>
    <n v="189"/>
    <n v="511"/>
    <m/>
    <m/>
    <n v="189"/>
    <n v="0.36986301369863012"/>
  </r>
  <r>
    <x v="12"/>
    <n v="0.76143103246416566"/>
    <n v="37002"/>
    <s v="SCHOOL FOR ADVANCED STUDIES - SOUTH"/>
    <m/>
    <m/>
    <n v="89"/>
    <n v="224"/>
    <m/>
    <m/>
    <n v="89"/>
    <n v="0.39732142857142855"/>
  </r>
  <r>
    <x v="12"/>
    <n v="0.76143103246416566"/>
    <n v="36859"/>
    <s v="CORAL REEF SENIOR HIGH SCHOOL"/>
    <m/>
    <m/>
    <n v="1441"/>
    <n v="3366"/>
    <m/>
    <m/>
    <n v="1441"/>
    <n v="0.42810457516339867"/>
  </r>
  <r>
    <x v="12"/>
    <n v="0.76143103246416566"/>
    <n v="36322"/>
    <s v="HIALEAH SENIOR HIGH SCHOOL"/>
    <m/>
    <m/>
    <n v="2190"/>
    <n v="2543"/>
    <m/>
    <m/>
    <n v="2190"/>
    <n v="0.86118757373181287"/>
  </r>
  <r>
    <x v="12"/>
    <n v="0.76143103246416566"/>
    <n v="232941"/>
    <s v="JOHN A. FERGUSON SENIOR HIGH"/>
    <m/>
    <m/>
    <n v="2801"/>
    <n v="4213"/>
    <m/>
    <m/>
    <n v="2801"/>
    <n v="0.6648469024448137"/>
  </r>
  <r>
    <x v="12"/>
    <n v="0.76143103246416566"/>
    <n v="36330"/>
    <s v="HIALEAH-MIAMI LAKES SENIOR HIGH"/>
    <m/>
    <m/>
    <n v="1460"/>
    <n v="1695"/>
    <m/>
    <m/>
    <n v="1460"/>
    <n v="0.86135693215339237"/>
  </r>
  <r>
    <x v="12"/>
    <n v="0.76143103246416566"/>
    <n v="203340"/>
    <s v="DR MICHAEL M. KROP SENIOR HIGH"/>
    <m/>
    <m/>
    <n v="1547"/>
    <n v="2720"/>
    <m/>
    <m/>
    <n v="1547"/>
    <n v="0.56874999999999998"/>
  </r>
  <r>
    <x v="12"/>
    <n v="0.76143103246416566"/>
    <n v="36465"/>
    <s v="HOMESTEAD SENIOR HIGH SCHOOL"/>
    <m/>
    <m/>
    <n v="1641"/>
    <n v="1840"/>
    <m/>
    <m/>
    <n v="1641"/>
    <n v="0.89184782608695656"/>
  </r>
  <r>
    <x v="12"/>
    <n v="0.76143103246416566"/>
    <n v="36805"/>
    <s v="MAST ACADEMY"/>
    <m/>
    <m/>
    <n v="250"/>
    <n v="1142"/>
    <m/>
    <m/>
    <n v="250"/>
    <n v="0.21891418563922943"/>
  </r>
  <r>
    <x v="12"/>
    <n v="0.76143103246416566"/>
    <n v="16061062"/>
    <s v="MEDICAL ACADEMY FOR SCIENCE AND TECHNOLOGY (M.A.S.T.) @ HOMESTEAD"/>
    <m/>
    <m/>
    <n v="362"/>
    <n v="514"/>
    <m/>
    <m/>
    <n v="362"/>
    <n v="0.7042801556420234"/>
  </r>
  <r>
    <x v="12"/>
    <n v="0.76143103246416566"/>
    <n v="16039011"/>
    <s v="HIALEAH GARDENS SENIOR HIGH SCHOOL"/>
    <m/>
    <m/>
    <n v="2610"/>
    <n v="3128"/>
    <m/>
    <m/>
    <n v="2610"/>
    <n v="0.8343989769820972"/>
  </r>
  <r>
    <x v="12"/>
    <n v="0.76143103246416566"/>
    <n v="36711"/>
    <s v="MIAMI BEACH SENIOR HIGH SCHOOL"/>
    <m/>
    <m/>
    <n v="1594"/>
    <n v="2435"/>
    <m/>
    <m/>
    <n v="1594"/>
    <n v="0.65462012320328544"/>
  </r>
  <r>
    <x v="12"/>
    <n v="0.76143103246416566"/>
    <n v="36513"/>
    <s v="MIAMI CAROL CITY SENIOR HIGH"/>
    <m/>
    <m/>
    <n v="1229"/>
    <n v="1410"/>
    <m/>
    <m/>
    <n v="1229"/>
    <n v="0.87163120567375885"/>
  </r>
  <r>
    <x v="12"/>
    <n v="0.76143103246416566"/>
    <n v="16036349"/>
    <s v="RONALD W. REAGAN/DORAL SENIOR HIGH SCHOOL"/>
    <m/>
    <m/>
    <n v="981"/>
    <n v="2169"/>
    <m/>
    <m/>
    <n v="981"/>
    <n v="0.45228215767634855"/>
  </r>
  <r>
    <x v="12"/>
    <n v="0.76143103246416566"/>
    <n v="36794"/>
    <s v="MIAMI CENTRAL SENIOR HIGH SCHOOL"/>
    <m/>
    <m/>
    <n v="1569"/>
    <n v="1832"/>
    <m/>
    <m/>
    <n v="1569"/>
    <n v="0.85644104803493448"/>
  </r>
  <r>
    <x v="12"/>
    <n v="0.76143103246416566"/>
    <n v="36926"/>
    <s v="MIAMI CORAL PARK SENIOR HIGH"/>
    <m/>
    <m/>
    <n v="2145"/>
    <n v="2654"/>
    <m/>
    <m/>
    <n v="2145"/>
    <n v="0.80821401657874903"/>
  </r>
  <r>
    <x v="12"/>
    <n v="0.76143103246416566"/>
    <n v="16071674"/>
    <s v="JOSE MARTI MAST 6-12 ACADEMY"/>
    <m/>
    <m/>
    <n v="566"/>
    <n v="733"/>
    <m/>
    <m/>
    <n v="566"/>
    <n v="0.77216916780354705"/>
  </r>
  <r>
    <x v="12"/>
    <n v="0.76143103246416566"/>
    <n v="36630"/>
    <s v="MIAMI EDISON SENIOR HIGH SCHOOL"/>
    <m/>
    <m/>
    <n v="664"/>
    <n v="802"/>
    <m/>
    <m/>
    <n v="664"/>
    <n v="0.82793017456359097"/>
  </r>
  <r>
    <x v="12"/>
    <n v="0.76143103246416566"/>
    <n v="36752"/>
    <s v="MIAMI JACKSON SENIOR HIGH SCHOOL"/>
    <m/>
    <m/>
    <n v="1465"/>
    <n v="1581"/>
    <m/>
    <m/>
    <n v="1465"/>
    <n v="0.92662871600253005"/>
  </r>
  <r>
    <x v="12"/>
    <n v="0.76143103246416566"/>
    <n v="16071441"/>
    <s v="ARTHUR AND POLLY MAYS CONSERVATORY OF THE ARTS"/>
    <m/>
    <m/>
    <n v="546"/>
    <n v="631"/>
    <m/>
    <m/>
    <n v="546"/>
    <n v="0.86529318541996836"/>
  </r>
  <r>
    <x v="12"/>
    <n v="0.76143103246416566"/>
    <n v="36999"/>
    <s v="MIAMI KILLIAN SENIOR HIGH SCHOOL"/>
    <m/>
    <m/>
    <n v="1393"/>
    <n v="2178"/>
    <m/>
    <m/>
    <n v="1393"/>
    <n v="0.63957759412304871"/>
  </r>
  <r>
    <x v="12"/>
    <n v="0.76143103246416566"/>
    <n v="37013"/>
    <s v="ROBERT MORGAN EDUCATIONAL CENTER"/>
    <m/>
    <m/>
    <n v="1707"/>
    <n v="2305"/>
    <m/>
    <m/>
    <n v="1707"/>
    <n v="0.74056399132321038"/>
  </r>
  <r>
    <x v="12"/>
    <n v="0.76143103246416566"/>
    <n v="36949"/>
    <s v="MIAMI NORLAND SENIOR HIGH SCHOOL"/>
    <m/>
    <m/>
    <n v="1353"/>
    <n v="1712"/>
    <m/>
    <m/>
    <n v="1353"/>
    <n v="0.79030373831775702"/>
  </r>
  <r>
    <x v="12"/>
    <n v="0.76143103246416566"/>
    <n v="222180"/>
    <s v="MIAMI LAKES EDUCATIONAL CENTER"/>
    <m/>
    <m/>
    <n v="1193"/>
    <n v="1501"/>
    <m/>
    <m/>
    <n v="1193"/>
    <n v="0.79480346435709526"/>
  </r>
  <r>
    <x v="12"/>
    <n v="0.76143103246416566"/>
    <n v="36818"/>
    <s v="MIAMI NORTHWESTERN SENIOR HIGH"/>
    <m/>
    <m/>
    <n v="1411"/>
    <n v="1640"/>
    <m/>
    <m/>
    <n v="1411"/>
    <n v="0.86036585365853657"/>
  </r>
  <r>
    <x v="12"/>
    <n v="0.76143103246416566"/>
    <n v="36849"/>
    <s v="MIAMI PALMETTO SENIOR HIGH SCHOOL"/>
    <m/>
    <m/>
    <n v="994"/>
    <n v="2588"/>
    <m/>
    <m/>
    <n v="994"/>
    <n v="0.384080370942813"/>
  </r>
  <r>
    <x v="12"/>
    <n v="0.76143103246416566"/>
    <n v="36679"/>
    <s v="MIAMI SENIOR HIGH SCHOOL"/>
    <m/>
    <m/>
    <n v="2571"/>
    <n v="2986"/>
    <m/>
    <m/>
    <n v="2571"/>
    <n v="0.86101808439383787"/>
  </r>
  <r>
    <x v="12"/>
    <n v="0.76143103246416566"/>
    <n v="36930"/>
    <s v="MIAMI SPRINGS SENIOR HIGH SCHOOL"/>
    <m/>
    <m/>
    <n v="1394"/>
    <n v="1687"/>
    <m/>
    <m/>
    <n v="1394"/>
    <n v="0.82631890930646112"/>
  </r>
  <r>
    <x v="12"/>
    <n v="0.76143103246416566"/>
    <n v="37036"/>
    <s v="MIAMI SUNSET SENIOR HIGH SCHOOL"/>
    <m/>
    <m/>
    <n v="1235"/>
    <n v="1572"/>
    <m/>
    <m/>
    <n v="1235"/>
    <n v="0.78562340966921118"/>
  </r>
  <r>
    <x v="12"/>
    <n v="0.76143103246416566"/>
    <n v="36895"/>
    <s v="NORTH MIAMI BEACH SENIOR HIGH"/>
    <m/>
    <m/>
    <n v="1394"/>
    <n v="1700"/>
    <m/>
    <m/>
    <n v="1394"/>
    <n v="0.82"/>
  </r>
  <r>
    <x v="12"/>
    <n v="0.76143103246416566"/>
    <n v="16045092"/>
    <s v="SCHOOL FOR ADVANCED STUDIES HOMESTEAD"/>
    <m/>
    <m/>
    <n v="65"/>
    <n v="113"/>
    <m/>
    <m/>
    <n v="65"/>
    <n v="0.5752212389380531"/>
  </r>
  <r>
    <x v="12"/>
    <n v="0.76143103246416566"/>
    <n v="16036310"/>
    <s v="INTERNATIONAL STUDIES PREPARATORY ACADEMY"/>
    <m/>
    <m/>
    <n v="177"/>
    <n v="355"/>
    <m/>
    <m/>
    <n v="177"/>
    <n v="0.49859154929577465"/>
  </r>
  <r>
    <x v="12"/>
    <n v="0.76143103246416566"/>
    <n v="16060914"/>
    <s v="I PREPARATORY ACADEMY"/>
    <m/>
    <m/>
    <n v="282"/>
    <n v="679"/>
    <m/>
    <m/>
    <n v="282"/>
    <n v="0.41531664212076586"/>
  </r>
  <r>
    <x v="12"/>
    <n v="0.76143103246416566"/>
    <n v="36884"/>
    <s v="NORTH MIAMI SENIOR HIGH SCHOOL"/>
    <m/>
    <m/>
    <n v="2289"/>
    <n v="2578"/>
    <m/>
    <m/>
    <n v="2289"/>
    <n v="0.88789759503491084"/>
  </r>
  <r>
    <x v="12"/>
    <n v="0.76143103246416566"/>
    <n v="36790"/>
    <s v="WILLIAM H. TURNER TECHNICAL ARTS HIGH SCHOOL"/>
    <m/>
    <m/>
    <n v="1299"/>
    <n v="1470"/>
    <m/>
    <m/>
    <n v="1299"/>
    <n v="0.88367346938775515"/>
  </r>
  <r>
    <x v="12"/>
    <n v="0.76143103246416566"/>
    <n v="36976"/>
    <s v="MIAMI MACARTHUR SOUTH"/>
    <m/>
    <m/>
    <n v="70"/>
    <n v="77"/>
    <m/>
    <m/>
    <n v="70"/>
    <n v="0.90909090909090906"/>
  </r>
  <r>
    <x v="12"/>
    <n v="0.76143103246416566"/>
    <n v="36437"/>
    <s v="SOUTH DADE SENIOR HIGH SCHOOL"/>
    <m/>
    <m/>
    <n v="2572"/>
    <n v="3119"/>
    <m/>
    <m/>
    <n v="2572"/>
    <n v="0.82462327669124724"/>
  </r>
  <r>
    <x v="12"/>
    <n v="0.76143103246416566"/>
    <n v="36837"/>
    <s v="SOUTH MIAMI SENIOR HIGH SCHOOL"/>
    <m/>
    <m/>
    <n v="1789"/>
    <n v="2219"/>
    <m/>
    <m/>
    <n v="1789"/>
    <n v="0.80621901757548442"/>
  </r>
  <r>
    <x v="12"/>
    <n v="0.76143103246416566"/>
    <n v="36878"/>
    <s v="MIAMI SOUTHRIDGE SENIOR HIGH"/>
    <m/>
    <m/>
    <n v="1657"/>
    <n v="1995"/>
    <m/>
    <m/>
    <n v="1657"/>
    <n v="0.83057644110275686"/>
  </r>
  <r>
    <x v="12"/>
    <n v="0.76143103246416566"/>
    <n v="36919"/>
    <s v="SOUTHWEST MIAMI SENIOR HIGH"/>
    <m/>
    <m/>
    <n v="2351"/>
    <n v="2970"/>
    <m/>
    <m/>
    <n v="2351"/>
    <n v="0.79158249158249161"/>
  </r>
  <r>
    <x v="12"/>
    <n v="0.76143103246416566"/>
    <n v="36351"/>
    <s v="BARBARA GOLEMAN SENIOR HIGH"/>
    <m/>
    <m/>
    <n v="1130"/>
    <n v="1658"/>
    <m/>
    <m/>
    <n v="1130"/>
    <n v="0.68154402895054278"/>
  </r>
  <r>
    <x v="12"/>
    <n v="0.76143103246416566"/>
    <n v="222168"/>
    <s v="FELIX VARELA SENIOR HIGH SCHOOL"/>
    <m/>
    <m/>
    <n v="2069"/>
    <n v="2882"/>
    <m/>
    <m/>
    <n v="2069"/>
    <n v="0.71790423317140872"/>
  </r>
  <r>
    <x v="12"/>
    <n v="0.76143103246416566"/>
    <n v="36692"/>
    <s v="BOOKER T. WASHINGTON SENIOR HIGH"/>
    <m/>
    <m/>
    <n v="832"/>
    <n v="957"/>
    <m/>
    <m/>
    <n v="832"/>
    <n v="0.86938349007314519"/>
  </r>
  <r>
    <x v="12"/>
    <n v="0.76143103246416566"/>
    <n v="36753"/>
    <s v="GEORGE T. BAKER AVIATION TECHNICAL COLLEGE"/>
    <m/>
    <m/>
    <m/>
    <n v="445"/>
    <m/>
    <m/>
    <n v="0"/>
    <n v="0"/>
  </r>
  <r>
    <x v="12"/>
    <n v="0.76143103246416566"/>
    <n v="36648"/>
    <s v="NEW WORLD SCHOOL OF THE ARTS"/>
    <m/>
    <m/>
    <n v="161"/>
    <n v="504"/>
    <m/>
    <m/>
    <n v="161"/>
    <n v="0.31944444444444442"/>
  </r>
  <r>
    <x v="12"/>
    <n v="0.76143103246416566"/>
    <n v="16080443"/>
    <s v="PACE CENTER FOR GIRLS"/>
    <m/>
    <m/>
    <n v="12"/>
    <n v="50"/>
    <m/>
    <m/>
    <n v="12"/>
    <n v="0.24"/>
  </r>
  <r>
    <x v="12"/>
    <n v="0.76143103246416566"/>
    <n v="213144"/>
    <s v="TEENAGE PARENT PROGRAM"/>
    <m/>
    <m/>
    <n v="4"/>
    <n v="214"/>
    <m/>
    <m/>
    <n v="4"/>
    <n v="1.8691588785046728E-2"/>
  </r>
  <r>
    <x v="12"/>
    <n v="0.76143103246416566"/>
    <n v="213145"/>
    <s v="ALTERNATIVE OUTREACH PROGRAM"/>
    <m/>
    <m/>
    <m/>
    <n v="0"/>
    <m/>
    <m/>
    <n v="0"/>
    <n v="0"/>
  </r>
  <r>
    <x v="12"/>
    <n v="0.76143103246416566"/>
    <n v="36670"/>
    <s v="ACADEMY FOR COMMUNITY EDUCATION (ACE)"/>
    <m/>
    <m/>
    <n v="81"/>
    <n v="93"/>
    <m/>
    <m/>
    <n v="81"/>
    <n v="0.87096774193548387"/>
  </r>
  <r>
    <x v="12"/>
    <n v="0.76143103246416566"/>
    <n v="16049807"/>
    <s v="TITLE I MIGRANT EDUCATION PROGRAM"/>
    <m/>
    <m/>
    <n v="16"/>
    <n v="16"/>
    <m/>
    <m/>
    <n v="16"/>
    <n v="1"/>
  </r>
  <r>
    <x v="12"/>
    <n v="0.76143103246416566"/>
    <n v="36496"/>
    <s v="JAN MANN OPPORTUNITY SCHOOL"/>
    <m/>
    <m/>
    <n v="102"/>
    <n v="111"/>
    <m/>
    <m/>
    <n v="102"/>
    <n v="0.91891891891891897"/>
  </r>
  <r>
    <x v="12"/>
    <n v="0.76143103246416566"/>
    <n v="36789"/>
    <s v="COPE CENTER NORTH"/>
    <m/>
    <m/>
    <n v="89"/>
    <n v="97"/>
    <m/>
    <m/>
    <n v="89"/>
    <n v="0.91752577319587625"/>
  </r>
  <r>
    <x v="12"/>
    <n v="0.76143103246416566"/>
    <n v="213151"/>
    <s v="DOROTHY M. WALLACE COPE CENTER"/>
    <m/>
    <m/>
    <n v="73"/>
    <n v="77"/>
    <m/>
    <m/>
    <n v="73"/>
    <n v="0.94805194805194803"/>
  </r>
  <r>
    <x v="12"/>
    <n v="0.76143103246416566"/>
    <n v="36509"/>
    <s v="ROBERT RENICK EDUCATION CENTER"/>
    <m/>
    <m/>
    <n v="85"/>
    <n v="89"/>
    <m/>
    <m/>
    <n v="85"/>
    <n v="0.9550561797752809"/>
  </r>
  <r>
    <x v="12"/>
    <n v="0.76143103246416566"/>
    <n v="36972"/>
    <s v="RUTH OWENS KRUSE EDUCATION CENTER"/>
    <m/>
    <m/>
    <n v="142"/>
    <n v="165"/>
    <m/>
    <m/>
    <n v="142"/>
    <n v="0.8606060606060606"/>
  </r>
  <r>
    <x v="12"/>
    <n v="0.76143103246416566"/>
    <n v="16039014"/>
    <s v="PREK INTERVENTION"/>
    <m/>
    <m/>
    <n v="2"/>
    <n v="408"/>
    <m/>
    <m/>
    <n v="2"/>
    <n v="4.9019607843137254E-3"/>
  </r>
  <r>
    <x v="12"/>
    <n v="0.76143103246416566"/>
    <n v="213159"/>
    <s v="INSTRUCTIONAL CENTER SYSTEM WIDE"/>
    <m/>
    <m/>
    <n v="6"/>
    <n v="113"/>
    <m/>
    <m/>
    <n v="6"/>
    <n v="5.3097345132743362E-2"/>
  </r>
  <r>
    <x v="12"/>
    <n v="0.76143103246416566"/>
    <n v="16049162"/>
    <s v="COCONUT PALM K-8 ACADEMY"/>
    <m/>
    <m/>
    <n v="1380"/>
    <n v="1497"/>
    <m/>
    <m/>
    <n v="1380"/>
    <n v="0.92184368737474953"/>
  </r>
  <r>
    <x v="12"/>
    <n v="0.76143103246416566"/>
    <n v="16036313"/>
    <s v="SOUTH DADE MIDDLE"/>
    <m/>
    <m/>
    <n v="1044"/>
    <n v="1110"/>
    <m/>
    <m/>
    <n v="1044"/>
    <n v="0.94054054054054059"/>
  </r>
  <r>
    <x v="12"/>
    <n v="0.76143103246416566"/>
    <n v="36671"/>
    <s v="BRUCIE BALL EDUCATIONAL CENTER"/>
    <m/>
    <m/>
    <n v="177"/>
    <n v="341"/>
    <m/>
    <m/>
    <n v="177"/>
    <n v="0.51906158357771259"/>
  </r>
  <r>
    <x v="12"/>
    <n v="0.76143103246416566"/>
    <n v="16055312"/>
    <s v="DR. EDWARD L. WHIGHAM ELEMENTARY (PLC - E)   "/>
    <m/>
    <m/>
    <n v="99"/>
    <n v="123"/>
    <m/>
    <m/>
    <n v="99"/>
    <n v="0.80487804878048785"/>
  </r>
  <r>
    <x v="12"/>
    <n v="0.76143103246416566"/>
    <n v="16055313"/>
    <s v="MARJORY S. DOUGLAS ELEMENTARY (PLC - F)     "/>
    <m/>
    <m/>
    <n v="97"/>
    <n v="127"/>
    <m/>
    <m/>
    <n v="97"/>
    <n v="0.76377952755905509"/>
  </r>
  <r>
    <x v="12"/>
    <n v="0.76143103246416566"/>
    <n v="160553144"/>
    <s v="BOB GRAHAM EDUCATIONAL CENTER (PLC - H)"/>
    <m/>
    <m/>
    <n v="96"/>
    <n v="172"/>
    <m/>
    <m/>
    <n v="96"/>
    <n v="0.55813953488372092"/>
  </r>
  <r>
    <x v="12"/>
    <n v="0.76143103246416566"/>
    <n v="16055315"/>
    <s v="OLIVER HOOVER ELEMENTARY (PLC - U)                         "/>
    <m/>
    <m/>
    <n v="104"/>
    <n v="152"/>
    <m/>
    <m/>
    <n v="104"/>
    <n v="0.68421052631578949"/>
  </r>
  <r>
    <x v="12"/>
    <n v="0.76143103246416566"/>
    <n v="16055316"/>
    <s v="WILLIAM J. BRYAN ELEMENTARY (PLC - K)                                    "/>
    <m/>
    <m/>
    <n v="120"/>
    <n v="133"/>
    <m/>
    <m/>
    <n v="120"/>
    <n v="0.90225563909774431"/>
  </r>
  <r>
    <x v="12"/>
    <n v="0.76143103246416566"/>
    <n v="16055320"/>
    <s v="BOWMAN / DOOLIN K8 CENTER (PLC - N)   "/>
    <m/>
    <m/>
    <n v="126"/>
    <n v="149"/>
    <m/>
    <m/>
    <n v="126"/>
    <n v="0.84563758389261745"/>
  </r>
  <r>
    <x v="12"/>
    <n v="0.76143103246416566"/>
    <n v="16055324"/>
    <s v="JACK D. GORDON ELEMENTARY PANTHER (PLC - S)                                                "/>
    <m/>
    <m/>
    <n v="126"/>
    <n v="173"/>
    <m/>
    <m/>
    <n v="126"/>
    <n v="0.72832369942196529"/>
  </r>
  <r>
    <x v="12"/>
    <n v="0.76143103246416566"/>
    <n v="16039004"/>
    <s v="JACK D. GORDON ELEMENTARY MANATEE (PLC - T)                                                "/>
    <m/>
    <m/>
    <n v="127"/>
    <n v="174"/>
    <m/>
    <m/>
    <n v="127"/>
    <n v="0.72988505747126442"/>
  </r>
  <r>
    <x v="13"/>
    <n v="0.97690881188118817"/>
    <n v="16062597"/>
    <s v="DESOTO ALTERNATIVE PROGRAM"/>
    <m/>
    <m/>
    <m/>
    <n v="44"/>
    <n v="2014"/>
    <n v="0.86670000000000003"/>
    <n v="44"/>
    <n v="1"/>
  </r>
  <r>
    <x v="13"/>
    <n v="0.97690881188118817"/>
    <n v="38504"/>
    <s v="DESOTO COUNTY HIGH SCHOOL"/>
    <m/>
    <m/>
    <m/>
    <n v="1233"/>
    <n v="2014"/>
    <n v="0.57889999999999997"/>
    <n v="1142.0539199999998"/>
    <n v="0.92623999999999984"/>
  </r>
  <r>
    <x v="13"/>
    <n v="0.97690881188118817"/>
    <n v="16033341"/>
    <s v="DESOTO DISTRICT OFFICE"/>
    <m/>
    <m/>
    <m/>
    <s v="0"/>
    <m/>
    <m/>
    <n v="0"/>
    <n v="0"/>
  </r>
  <r>
    <x v="13"/>
    <n v="0.97690881188118817"/>
    <n v="38503"/>
    <s v="DESOTO MIDDLE SCHOOL"/>
    <m/>
    <m/>
    <m/>
    <n v="1064"/>
    <n v="2014"/>
    <n v="0.64370000000000005"/>
    <n v="1064"/>
    <n v="1"/>
  </r>
  <r>
    <x v="13"/>
    <n v="0.97690881188118817"/>
    <n v="38497"/>
    <s v="EARLY EDUCATION CENTER"/>
    <m/>
    <m/>
    <m/>
    <n v="57"/>
    <n v="2014"/>
    <n v="0.64710000000000001"/>
    <n v="57"/>
    <n v="1"/>
  </r>
  <r>
    <x v="13"/>
    <n v="0.97690881188118817"/>
    <n v="38499"/>
    <s v="FAMILY SERVICE CENTER"/>
    <m/>
    <m/>
    <m/>
    <s v="0"/>
    <m/>
    <m/>
    <n v="0"/>
    <n v="0"/>
  </r>
  <r>
    <x v="13"/>
    <n v="0.97690881188118817"/>
    <n v="38500"/>
    <s v="MEMORIAL ELEMENTARY SCHOOL"/>
    <m/>
    <m/>
    <m/>
    <n v="1021"/>
    <n v="2014"/>
    <n v="0.75219999999999998"/>
    <n v="1021"/>
    <n v="1"/>
  </r>
  <r>
    <x v="13"/>
    <n v="0.97690881188118817"/>
    <n v="38505"/>
    <s v="NOCATEE ELEMENTARY SCHOOL"/>
    <m/>
    <m/>
    <m/>
    <n v="573"/>
    <n v="2014"/>
    <n v="0.82069999999999999"/>
    <n v="573"/>
    <n v="1"/>
  </r>
  <r>
    <x v="13"/>
    <n v="0.97690881188118817"/>
    <n v="16026847"/>
    <s v="SPRING LAKE YOUTH ACADEMY"/>
    <m/>
    <m/>
    <m/>
    <n v="21"/>
    <m/>
    <m/>
    <n v="0"/>
    <n v="0"/>
  </r>
  <r>
    <x v="13"/>
    <n v="0.97690881188118817"/>
    <n v="16066751"/>
    <s v="THE ENVIRONMENTAL LEARNING LAB AND OUTDOOR CLASSROOM"/>
    <m/>
    <m/>
    <m/>
    <s v="0"/>
    <m/>
    <m/>
    <n v="0"/>
    <n v="0"/>
  </r>
  <r>
    <x v="13"/>
    <n v="0.97690881188118817"/>
    <n v="38498"/>
    <s v="WEST ELEMENTARY SCHOOL"/>
    <m/>
    <m/>
    <m/>
    <n v="835"/>
    <n v="2014"/>
    <n v="0.64390000000000003"/>
    <n v="835"/>
    <n v="1"/>
  </r>
  <r>
    <x v="14"/>
    <n v="1"/>
    <n v="35733"/>
    <s v="DIXIE COUNTY HIGH SCHOOL"/>
    <m/>
    <m/>
    <n v="533"/>
    <n v="533"/>
    <m/>
    <m/>
    <n v="533"/>
    <n v="1"/>
  </r>
  <r>
    <x v="14"/>
    <n v="1"/>
    <n v="35736"/>
    <s v="JAMES M. ANDERSON ELEMENTARY SCHOOL"/>
    <m/>
    <m/>
    <n v="497"/>
    <n v="497"/>
    <m/>
    <m/>
    <n v="497"/>
    <n v="1"/>
  </r>
  <r>
    <x v="14"/>
    <n v="1"/>
    <n v="35768"/>
    <s v="OLD TOWN ELEMENTARY SCHOOL"/>
    <m/>
    <m/>
    <n v="558"/>
    <n v="558"/>
    <m/>
    <m/>
    <n v="558"/>
    <n v="1"/>
  </r>
  <r>
    <x v="14"/>
    <n v="1"/>
    <n v="35735"/>
    <s v="RUTH RAINS MIDDLE SCHOOL"/>
    <m/>
    <m/>
    <n v="444"/>
    <n v="444"/>
    <m/>
    <m/>
    <n v="444"/>
    <n v="1"/>
  </r>
  <r>
    <x v="15"/>
    <n v="0.72335604859089875"/>
    <n v="35060"/>
    <s v="A. PHILIP RANDOLPH ACADEMIES"/>
    <m/>
    <m/>
    <m/>
    <n v="414"/>
    <n v="2015"/>
    <n v="59.14"/>
    <n v="414"/>
    <n v="1"/>
  </r>
  <r>
    <x v="15"/>
    <n v="0.72335604859089875"/>
    <n v="205868"/>
    <s v="ABESS PARK ELEMENTARY SCHOOL"/>
    <m/>
    <m/>
    <n v="377"/>
    <n v="751"/>
    <m/>
    <m/>
    <n v="377"/>
    <n v="0.50199733688415449"/>
  </r>
  <r>
    <x v="15"/>
    <n v="0.72335604859089875"/>
    <n v="35184"/>
    <s v="ALDEN ROAD EXCEP. STUDENT CENTER"/>
    <m/>
    <m/>
    <n v="101"/>
    <n v="184"/>
    <m/>
    <m/>
    <n v="101"/>
    <n v="0.54891304347826086"/>
  </r>
  <r>
    <x v="15"/>
    <n v="0.72335604859089875"/>
    <n v="35126"/>
    <s v="ALFRED I. DUPONT MIDDLE SCHOOL"/>
    <m/>
    <m/>
    <m/>
    <n v="694"/>
    <n v="2015"/>
    <n v="59.14"/>
    <n v="694"/>
    <n v="1"/>
  </r>
  <r>
    <x v="15"/>
    <n v="0.72335604859089875"/>
    <n v="35155"/>
    <s v="ALIMACANI ELEMENTARY SCHOOL"/>
    <m/>
    <m/>
    <n v="280"/>
    <n v="891"/>
    <m/>
    <m/>
    <n v="280"/>
    <n v="0.31425364758698093"/>
  </r>
  <r>
    <x v="15"/>
    <n v="0.72335604859089875"/>
    <n v="35010"/>
    <s v="ANDREW A. ROBINSON ELEMENTARY SCHOOL"/>
    <m/>
    <m/>
    <m/>
    <n v="641"/>
    <n v="2015"/>
    <n v="59.14"/>
    <n v="641"/>
    <n v="1"/>
  </r>
  <r>
    <x v="15"/>
    <n v="0.72335604859089875"/>
    <n v="35006"/>
    <s v="ANDREW JACKSON HIGH SCHOOL"/>
    <m/>
    <m/>
    <m/>
    <n v="715"/>
    <n v="2015"/>
    <n v="59.14"/>
    <n v="715"/>
    <n v="1"/>
  </r>
  <r>
    <x v="15"/>
    <n v="0.72335604859089875"/>
    <n v="35205"/>
    <s v="ANNIE R. MORGAN ELEMENTARY SCHOOL"/>
    <m/>
    <m/>
    <m/>
    <n v="417"/>
    <n v="2015"/>
    <n v="59.14"/>
    <n v="417"/>
    <n v="1"/>
  </r>
  <r>
    <x v="15"/>
    <n v="0.72335604859089875"/>
    <n v="35110"/>
    <s v="ARLINGTON ELEMENTARY SCHOOL"/>
    <m/>
    <m/>
    <m/>
    <n v="285"/>
    <n v="2015"/>
    <n v="59.14"/>
    <n v="285"/>
    <n v="1"/>
  </r>
  <r>
    <x v="15"/>
    <n v="0.72335604859089875"/>
    <n v="35103"/>
    <s v="ARLINGTON HEIGHTS ELEMENTARY SCHOOL"/>
    <m/>
    <m/>
    <m/>
    <n v="422"/>
    <n v="2015"/>
    <n v="59.14"/>
    <n v="422"/>
    <n v="1"/>
  </r>
  <r>
    <x v="15"/>
    <n v="0.72335604859089875"/>
    <n v="35102"/>
    <s v="ARLINGTON MIDDLE SCHOOL"/>
    <m/>
    <m/>
    <m/>
    <n v="825"/>
    <n v="2015"/>
    <n v="59.14"/>
    <n v="825"/>
    <n v="1"/>
  </r>
  <r>
    <x v="15"/>
    <n v="0.72335604859089875"/>
    <n v="35167"/>
    <s v="ATLANTIC BEACH ELEMENTARY SCHOOL"/>
    <m/>
    <m/>
    <n v="152"/>
    <n v="442"/>
    <m/>
    <m/>
    <n v="152"/>
    <n v="0.34389140271493213"/>
  </r>
  <r>
    <x v="15"/>
    <n v="0.72335604859089875"/>
    <n v="16062839"/>
    <s v="ATLANTIC COAST HIGH SCHOOL"/>
    <m/>
    <m/>
    <n v="611"/>
    <n v="2108"/>
    <m/>
    <m/>
    <n v="611"/>
    <n v="0.28984819734345352"/>
  </r>
  <r>
    <x v="15"/>
    <n v="0.72335604859089875"/>
    <n v="35171"/>
    <s v="BALDWIN MIDDLE-SENIOR HIGH SCHOOL"/>
    <m/>
    <m/>
    <n v="524"/>
    <n v="1130"/>
    <m/>
    <m/>
    <n v="524"/>
    <n v="0.46371681415929206"/>
  </r>
  <r>
    <x v="15"/>
    <n v="0.72335604859089875"/>
    <n v="16054991"/>
    <s v="BARTRAM SPRINGS ELEMENTARY"/>
    <m/>
    <m/>
    <n v="219"/>
    <n v="893"/>
    <m/>
    <m/>
    <n v="219"/>
    <n v="0.24524076147816348"/>
  </r>
  <r>
    <x v="15"/>
    <n v="0.72335604859089875"/>
    <n v="35089"/>
    <s v="BAYVIEW ELEMENTARY SCHOOL"/>
    <m/>
    <m/>
    <m/>
    <n v="379"/>
    <n v="2015"/>
    <n v="59.14"/>
    <n v="379"/>
    <n v="1"/>
  </r>
  <r>
    <x v="15"/>
    <n v="0.72335604859089875"/>
    <n v="35214"/>
    <s v="BEAUCLERC ELEMENTARY SCHOOL"/>
    <m/>
    <m/>
    <m/>
    <n v="966"/>
    <n v="2015"/>
    <n v="59.14"/>
    <n v="966"/>
    <n v="1"/>
  </r>
  <r>
    <x v="15"/>
    <n v="0.72335604859089875"/>
    <n v="35199"/>
    <s v="BILTMORE ELEMENTARY SCHOOL"/>
    <m/>
    <m/>
    <m/>
    <n v="354"/>
    <n v="2015"/>
    <n v="59.14"/>
    <n v="354"/>
    <n v="1"/>
  </r>
  <r>
    <x v="15"/>
    <n v="0.72335604859089875"/>
    <n v="16024512"/>
    <s v="BISCAYNE ELEMENTARY SCHOOL"/>
    <m/>
    <m/>
    <m/>
    <n v="687"/>
    <n v="2015"/>
    <n v="59.14"/>
    <n v="687"/>
    <n v="1"/>
  </r>
  <r>
    <x v="15"/>
    <n v="0.72335604859089875"/>
    <n v="35008"/>
    <s v="BRENTWOOD ELEMENTARY SCHOOL"/>
    <m/>
    <m/>
    <m/>
    <n v="327"/>
    <n v="2015"/>
    <n v="59.14"/>
    <n v="327"/>
    <n v="1"/>
  </r>
  <r>
    <x v="15"/>
    <n v="0.72335604859089875"/>
    <n v="35188"/>
    <s v="BROOKVIEW ELEMENTARY SCHOOL"/>
    <m/>
    <m/>
    <m/>
    <n v="739"/>
    <n v="2015"/>
    <n v="59.14"/>
    <n v="739"/>
    <n v="1"/>
  </r>
  <r>
    <x v="15"/>
    <n v="0.72335604859089875"/>
    <n v="35054"/>
    <s v="CARTER G. WOODSON ELEMENTARY SCHOOL"/>
    <m/>
    <m/>
    <m/>
    <n v="503"/>
    <n v="2015"/>
    <n v="59.14"/>
    <n v="503"/>
    <n v="1"/>
  </r>
  <r>
    <x v="15"/>
    <n v="0.72335604859089875"/>
    <n v="35093"/>
    <s v="CEDAR HILLS ELEMENTARY SCHOOL"/>
    <m/>
    <m/>
    <m/>
    <n v="490"/>
    <n v="2015"/>
    <n v="59.14"/>
    <n v="490"/>
    <n v="1"/>
  </r>
  <r>
    <x v="15"/>
    <n v="0.72335604859089875"/>
    <n v="35208"/>
    <s v="CENTRAL RIVERSIDE ELEMENTARY SCHOOL"/>
    <m/>
    <m/>
    <m/>
    <n v="368"/>
    <n v="2015"/>
    <n v="59.14"/>
    <n v="368"/>
    <n v="1"/>
  </r>
  <r>
    <x v="15"/>
    <n v="0.72335604859089875"/>
    <n v="16042886"/>
    <s v="CHAFFEE TRAIL ELEMENTARY"/>
    <m/>
    <m/>
    <n v="400"/>
    <n v="743"/>
    <m/>
    <m/>
    <n v="400"/>
    <n v="0.53835800807537015"/>
  </r>
  <r>
    <x v="15"/>
    <n v="0.72335604859089875"/>
    <n v="212660"/>
    <s v="CHET'S CREEK ELEMENTARY SCHOOL"/>
    <m/>
    <m/>
    <n v="440"/>
    <n v="1297"/>
    <m/>
    <m/>
    <n v="440"/>
    <n v="0.33924441017733231"/>
  </r>
  <r>
    <x v="15"/>
    <n v="0.72335604859089875"/>
    <n v="35183"/>
    <s v="CHIMNEY LAKES ELEMENTARY SCHOOL"/>
    <m/>
    <m/>
    <m/>
    <n v="1047"/>
    <n v="2015"/>
    <n v="59.14"/>
    <n v="1047"/>
    <n v="1"/>
  </r>
  <r>
    <x v="15"/>
    <n v="0.72335604859089875"/>
    <n v="35218"/>
    <s v="CROWN POINT ELEMENTARY SCHOOL"/>
    <m/>
    <m/>
    <m/>
    <n v="967"/>
    <n v="2015"/>
    <n v="59.14"/>
    <n v="967"/>
    <n v="1"/>
  </r>
  <r>
    <x v="15"/>
    <n v="0.72335604859089875"/>
    <n v="35150"/>
    <s v="CRYSTAL SPRINGS ELEMENTARY SCHOOL"/>
    <m/>
    <m/>
    <m/>
    <n v="1122"/>
    <n v="2015"/>
    <n v="59.14"/>
    <n v="1122"/>
    <n v="1"/>
  </r>
  <r>
    <x v="15"/>
    <n v="0.72335604859089875"/>
    <n v="35072"/>
    <s v="DARNELL COOKMAN MIDDLE/HIGH SCHOOL"/>
    <m/>
    <m/>
    <n v="484"/>
    <n v="1142"/>
    <m/>
    <m/>
    <n v="484"/>
    <n v="0.42381786339754818"/>
  </r>
  <r>
    <x v="15"/>
    <n v="0.72335604859089875"/>
    <n v="35144"/>
    <s v="DINSMORE ELEMENTARY SCHOOL"/>
    <m/>
    <m/>
    <m/>
    <n v="511"/>
    <n v="2015"/>
    <n v="59.14"/>
    <n v="511"/>
    <n v="1"/>
  </r>
  <r>
    <x v="15"/>
    <n v="0.72335604859089875"/>
    <n v="235335"/>
    <s v="DON BREWER ELEMENTARY SCHOOL"/>
    <m/>
    <m/>
    <m/>
    <n v="543"/>
    <n v="2015"/>
    <n v="59.14"/>
    <n v="543"/>
    <n v="1"/>
  </r>
  <r>
    <x v="15"/>
    <n v="0.72335604859089875"/>
    <n v="35027"/>
    <s v="DOUGLAS ANDERSON SCHOOL OF THE ARTS"/>
    <m/>
    <m/>
    <n v="263"/>
    <n v="1200"/>
    <m/>
    <m/>
    <n v="263"/>
    <n v="0.21916666666666668"/>
  </r>
  <r>
    <x v="15"/>
    <n v="0.72335604859089875"/>
    <n v="35229"/>
    <s v="DUNCAN U. FLETCHER HIGH SCHOOL"/>
    <m/>
    <m/>
    <n v="665"/>
    <n v="2161"/>
    <m/>
    <m/>
    <n v="665"/>
    <n v="0.3077279037482647"/>
  </r>
  <r>
    <x v="15"/>
    <n v="0.72335604859089875"/>
    <n v="35196"/>
    <s v="DUNCAN U. FLETCHER MIDDLE SCHOOL"/>
    <m/>
    <m/>
    <n v="444"/>
    <n v="1273"/>
    <m/>
    <m/>
    <n v="444"/>
    <n v="0.34878240377062059"/>
  </r>
  <r>
    <x v="15"/>
    <n v="0.72335604859089875"/>
    <n v="35076"/>
    <s v="EDWARD H. WHITE HIGH SCHOOL"/>
    <m/>
    <m/>
    <m/>
    <n v="1679"/>
    <n v="2015"/>
    <n v="59.14"/>
    <n v="1679"/>
    <n v="1"/>
  </r>
  <r>
    <x v="15"/>
    <n v="0.72335604859089875"/>
    <n v="35033"/>
    <s v="ENGLEWOOD ELEMENTARY SCHOOL"/>
    <m/>
    <m/>
    <m/>
    <n v="475"/>
    <n v="2015"/>
    <n v="59.14"/>
    <n v="475"/>
    <n v="1"/>
  </r>
  <r>
    <x v="15"/>
    <n v="0.72335604859089875"/>
    <n v="35035"/>
    <s v="ENGLEWOOD HIGH SCHOOL"/>
    <m/>
    <m/>
    <m/>
    <n v="1839"/>
    <n v="2015"/>
    <n v="59.14"/>
    <n v="1839"/>
    <n v="1"/>
  </r>
  <r>
    <x v="15"/>
    <n v="0.72335604859089875"/>
    <n v="212662"/>
    <s v="ENTERPRISE LEARNING ACADEMY"/>
    <m/>
    <m/>
    <m/>
    <n v="819"/>
    <n v="2015"/>
    <n v="59.14"/>
    <n v="819"/>
    <n v="1"/>
  </r>
  <r>
    <x v="15"/>
    <n v="0.72335604859089875"/>
    <n v="35133"/>
    <s v="FIRST COAST HIGH SCHOOL"/>
    <m/>
    <m/>
    <n v="1033"/>
    <n v="2047"/>
    <m/>
    <m/>
    <n v="1033"/>
    <n v="0.50464093795798726"/>
  </r>
  <r>
    <x v="15"/>
    <n v="0.72335604859089875"/>
    <n v="35005"/>
    <s v="FISHWEIR ELEMENTARY SCHOOL"/>
    <m/>
    <m/>
    <n v="180"/>
    <n v="430"/>
    <m/>
    <m/>
    <n v="180"/>
    <n v="0.41860465116279072"/>
  </r>
  <r>
    <x v="15"/>
    <n v="0.72335604859089875"/>
    <n v="17004279"/>
    <s v="FLORIDA VIRTUAL ACADEMY AT DUVAL COUNTY"/>
    <m/>
    <m/>
    <n v="89"/>
    <n v="229"/>
    <m/>
    <m/>
    <n v="89"/>
    <n v="0.388646288209607"/>
  </r>
  <r>
    <x v="15"/>
    <n v="0.72335604859089875"/>
    <n v="35234"/>
    <s v="FORT CAROLINE ELEMENTARY SCHOOL"/>
    <m/>
    <m/>
    <m/>
    <n v="680"/>
    <n v="2015"/>
    <n v="59.14"/>
    <n v="680"/>
    <n v="1"/>
  </r>
  <r>
    <x v="15"/>
    <n v="0.72335604859089875"/>
    <n v="35233"/>
    <s v="FORT CAROLINE MIDDLE SCHOOL"/>
    <m/>
    <m/>
    <m/>
    <n v="460"/>
    <n v="2015"/>
    <n v="59.14"/>
    <n v="460"/>
    <n v="1"/>
  </r>
  <r>
    <x v="15"/>
    <n v="0.72335604859089875"/>
    <n v="35082"/>
    <s v="FRANK H. PETERSON ACADEMIES"/>
    <m/>
    <m/>
    <m/>
    <n v="1178"/>
    <n v="2015"/>
    <n v="59.14"/>
    <n v="1178"/>
    <n v="1"/>
  </r>
  <r>
    <x v="15"/>
    <n v="0.72335604859089875"/>
    <n v="35139"/>
    <s v="GARDEN CITY ELEMENTARY SCHOOL"/>
    <m/>
    <m/>
    <m/>
    <n v="460"/>
    <n v="2015"/>
    <n v="59.14"/>
    <n v="460"/>
    <n v="1"/>
  </r>
  <r>
    <x v="15"/>
    <n v="0.72335604859089875"/>
    <n v="35056"/>
    <s v="GEORGE WASHINGTON CARVER ELEMENTARY"/>
    <m/>
    <m/>
    <m/>
    <n v="364"/>
    <n v="2015"/>
    <n v="59.14"/>
    <n v="364"/>
    <n v="1"/>
  </r>
  <r>
    <x v="15"/>
    <n v="0.72335604859089875"/>
    <n v="35062"/>
    <s v="GRAND PARK CAREER CENTER"/>
    <m/>
    <m/>
    <m/>
    <n v="125"/>
    <n v="2015"/>
    <n v="59.14"/>
    <n v="125"/>
    <n v="1"/>
  </r>
  <r>
    <x v="15"/>
    <n v="0.72335604859089875"/>
    <n v="35120"/>
    <s v="GREENFIELD ELEMENTARY SCHOOL"/>
    <m/>
    <m/>
    <m/>
    <n v="528"/>
    <n v="2015"/>
    <n v="59.14"/>
    <n v="528"/>
    <n v="1"/>
  </r>
  <r>
    <x v="15"/>
    <n v="0.72335604859089875"/>
    <n v="35221"/>
    <s v="GREENLAND PINES ELEMENTARY SCHOOL"/>
    <m/>
    <m/>
    <n v="263"/>
    <n v="797"/>
    <m/>
    <m/>
    <n v="263"/>
    <n v="0.32998745294855708"/>
  </r>
  <r>
    <x v="15"/>
    <n v="0.72335604859089875"/>
    <n v="35086"/>
    <s v="GREGORY DRIVE ELEMENTARY SCHOOL"/>
    <m/>
    <m/>
    <m/>
    <n v="741"/>
    <n v="2015"/>
    <n v="59.14"/>
    <n v="741"/>
    <n v="1"/>
  </r>
  <r>
    <x v="15"/>
    <n v="0.72335604859089875"/>
    <n v="35029"/>
    <s v="HENDRICKS AVENUE ELEMENTARY SCHOOL"/>
    <m/>
    <m/>
    <n v="215"/>
    <n v="695"/>
    <m/>
    <m/>
    <n v="215"/>
    <n v="0.30935251798561153"/>
  </r>
  <r>
    <x v="15"/>
    <n v="0.72335604859089875"/>
    <n v="35041"/>
    <s v="HENRY F. KITE ELEMENTARY SCHOOL"/>
    <m/>
    <m/>
    <m/>
    <n v="259"/>
    <n v="2015"/>
    <n v="59.14"/>
    <n v="259"/>
    <n v="1"/>
  </r>
  <r>
    <x v="15"/>
    <n v="0.72335604859089875"/>
    <n v="35143"/>
    <s v="HIGHLANDS ELEMENTARY SCHOOL"/>
    <m/>
    <m/>
    <m/>
    <n v="481"/>
    <n v="2015"/>
    <n v="59.14"/>
    <n v="481"/>
    <n v="1"/>
  </r>
  <r>
    <x v="15"/>
    <n v="0.72335604859089875"/>
    <n v="35138"/>
    <s v="HIGHLANDS MIDDLE SCHOOL"/>
    <m/>
    <m/>
    <m/>
    <n v="822"/>
    <n v="2015"/>
    <n v="59.14"/>
    <n v="822"/>
    <n v="1"/>
  </r>
  <r>
    <x v="15"/>
    <n v="0.72335604859089875"/>
    <n v="35113"/>
    <s v="HOGAN-SPRING GLEN ELEMENTARY SCHOOL"/>
    <m/>
    <m/>
    <m/>
    <n v="337"/>
    <n v="2015"/>
    <n v="59.14"/>
    <n v="337"/>
    <n v="1"/>
  </r>
  <r>
    <x v="15"/>
    <n v="0.72335604859089875"/>
    <n v="35123"/>
    <s v="HOLIDAY HILL ELEMENTARY SCHOOL"/>
    <m/>
    <m/>
    <m/>
    <n v="616"/>
    <n v="2015"/>
    <n v="59.14"/>
    <n v="616"/>
    <n v="1"/>
  </r>
  <r>
    <x v="15"/>
    <n v="0.72335604859089875"/>
    <n v="17004278"/>
    <s v="HOSPITAL AND HOMEBOUND"/>
    <m/>
    <m/>
    <n v="39"/>
    <n v="114"/>
    <m/>
    <m/>
    <n v="39"/>
    <n v="0.34210526315789475"/>
  </r>
  <r>
    <x v="15"/>
    <n v="0.72335604859089875"/>
    <n v="35081"/>
    <s v="HYDE GROVE ELEMENTARY SCHOOL"/>
    <m/>
    <m/>
    <m/>
    <n v="529"/>
    <n v="2015"/>
    <n v="59.14"/>
    <n v="529"/>
    <n v="1"/>
  </r>
  <r>
    <x v="15"/>
    <n v="0.72335604859089875"/>
    <n v="35001"/>
    <s v="HYDE PARK ELEMENTARY SCHOOL"/>
    <m/>
    <m/>
    <m/>
    <n v="436"/>
    <n v="2015"/>
    <n v="59.14"/>
    <n v="436"/>
    <n v="1"/>
  </r>
  <r>
    <x v="15"/>
    <n v="0.72335604859089875"/>
    <n v="35009"/>
    <s v="J. ALLEN AXSON ELEMENTARY SCHOOL"/>
    <m/>
    <m/>
    <n v="97"/>
    <n v="584"/>
    <m/>
    <m/>
    <n v="97"/>
    <n v="0.1660958904109589"/>
  </r>
  <r>
    <x v="15"/>
    <n v="0.72335604859089875"/>
    <n v="35095"/>
    <s v="J. E. B. STUART MIDDLE SCHOOL"/>
    <m/>
    <m/>
    <m/>
    <n v="596"/>
    <n v="2015"/>
    <n v="59.14"/>
    <n v="596"/>
    <n v="1"/>
  </r>
  <r>
    <x v="15"/>
    <n v="0.72335604859089875"/>
    <n v="35191"/>
    <s v="JACKSONVILLE BEACH ELEMENTARY SCHOOL"/>
    <m/>
    <m/>
    <n v="44"/>
    <n v="598"/>
    <m/>
    <m/>
    <n v="44"/>
    <n v="7.3578595317725759E-2"/>
  </r>
  <r>
    <x v="15"/>
    <n v="0.72335604859089875"/>
    <n v="35174"/>
    <s v="JACKSONVILLE HEIGHTS ELEMENTARY SCHOOL"/>
    <m/>
    <m/>
    <m/>
    <n v="589"/>
    <n v="2015"/>
    <n v="59.14"/>
    <n v="589"/>
    <n v="1"/>
  </r>
  <r>
    <x v="15"/>
    <n v="0.72335604859089875"/>
    <n v="35067"/>
    <s v="JAMES WELDON JOHNSON ACADEMIC AND CAREER TRAINING CENTER"/>
    <m/>
    <m/>
    <m/>
    <n v="412"/>
    <n v="2015"/>
    <n v="59.14"/>
    <n v="412"/>
    <n v="1"/>
  </r>
  <r>
    <x v="15"/>
    <n v="0.72335604859089875"/>
    <n v="16067853"/>
    <s v="JAMES WELDON JOHNSON COLLEGE PREPARTORY MIDDLE SCHOOL"/>
    <m/>
    <m/>
    <n v="241"/>
    <n v="1015"/>
    <m/>
    <m/>
    <n v="241"/>
    <n v="0.2374384236453202"/>
  </r>
  <r>
    <x v="15"/>
    <n v="0.72335604859089875"/>
    <n v="35045"/>
    <s v="JEAN RIBAULT HIGH SCHOOL"/>
    <m/>
    <m/>
    <m/>
    <n v="1256"/>
    <n v="2015"/>
    <n v="59.14"/>
    <n v="1256"/>
    <n v="1"/>
  </r>
  <r>
    <x v="15"/>
    <n v="0.72335604859089875"/>
    <n v="35043"/>
    <s v="JEAN RIBAULT MIDDLE SCHOOL"/>
    <m/>
    <m/>
    <m/>
    <n v="602"/>
    <n v="2015"/>
    <n v="59.14"/>
    <n v="602"/>
    <n v="1"/>
  </r>
  <r>
    <x v="15"/>
    <n v="0.72335604859089875"/>
    <n v="35090"/>
    <s v="JEFFERSON DAVIS MIDDLE SCHOOL"/>
    <m/>
    <m/>
    <m/>
    <n v="968"/>
    <n v="2015"/>
    <n v="59.14"/>
    <n v="968"/>
    <n v="1"/>
  </r>
  <r>
    <x v="15"/>
    <n v="0.72335604859089875"/>
    <n v="35071"/>
    <s v="JOHN E. FORD K-8 SCHOOL"/>
    <m/>
    <m/>
    <m/>
    <n v="625"/>
    <n v="2015"/>
    <n v="59.14"/>
    <n v="625"/>
    <n v="1"/>
  </r>
  <r>
    <x v="15"/>
    <n v="0.72335604859089875"/>
    <n v="35012"/>
    <s v="JOHN LOVE ELEMENTARY SCHOOL"/>
    <m/>
    <m/>
    <m/>
    <n v="234"/>
    <n v="2015"/>
    <n v="59.14"/>
    <n v="234"/>
    <n v="1"/>
  </r>
  <r>
    <x v="15"/>
    <n v="0.72335604859089875"/>
    <n v="35096"/>
    <s v="JOHN STOCKTON ELEMENTARY SCHOOL"/>
    <m/>
    <m/>
    <n v="133"/>
    <n v="501"/>
    <m/>
    <m/>
    <n v="133"/>
    <n v="0.26546906187624753"/>
  </r>
  <r>
    <x v="15"/>
    <n v="0.72335604859089875"/>
    <n v="35166"/>
    <s v="JOSEPH FINEGAN ELEMENTARY SCHOOL"/>
    <m/>
    <m/>
    <n v="146"/>
    <n v="430"/>
    <m/>
    <m/>
    <n v="146"/>
    <n v="0.33953488372093021"/>
  </r>
  <r>
    <x v="15"/>
    <n v="0.72335604859089875"/>
    <n v="35151"/>
    <s v="JOSEPH STILWELL MIDDLE SCHOOL"/>
    <m/>
    <m/>
    <m/>
    <n v="790"/>
    <n v="2015"/>
    <n v="59.14"/>
    <n v="790"/>
    <n v="1"/>
  </r>
  <r>
    <x v="15"/>
    <n v="0.72335604859089875"/>
    <n v="35025"/>
    <s v="JULIA LANDON COLLEGE PREPARATORY &amp; LEADERSHIP DEVELOPMENT SCHOOL"/>
    <m/>
    <m/>
    <n v="155"/>
    <n v="750"/>
    <m/>
    <m/>
    <n v="155"/>
    <n v="0.20666666666666667"/>
  </r>
  <r>
    <x v="15"/>
    <n v="0.72335604859089875"/>
    <n v="235337"/>
    <s v="KERNAN MIDDLE SCHOOL"/>
    <m/>
    <m/>
    <n v="563"/>
    <n v="1168"/>
    <m/>
    <m/>
    <n v="563"/>
    <n v="0.48202054794520549"/>
  </r>
  <r>
    <x v="15"/>
    <n v="0.72335604859089875"/>
    <n v="235336"/>
    <s v="KERNAN TRAIL ELEMENTARY SCHOOL"/>
    <m/>
    <m/>
    <m/>
    <n v="684"/>
    <n v="2015"/>
    <n v="59.14"/>
    <n v="684"/>
    <n v="1"/>
  </r>
  <r>
    <x v="15"/>
    <n v="0.72335604859089875"/>
    <n v="35131"/>
    <s v="KINGS TRAIL ELEMENTARY SCHOOL"/>
    <m/>
    <m/>
    <m/>
    <n v="435"/>
    <n v="2015"/>
    <n v="59.14"/>
    <n v="435"/>
    <n v="1"/>
  </r>
  <r>
    <x v="15"/>
    <n v="0.72335604859089875"/>
    <n v="35011"/>
    <s v="KIRBY-SMITH MIDDLE SCHOOL"/>
    <m/>
    <m/>
    <n v="363"/>
    <n v="889"/>
    <m/>
    <m/>
    <n v="363"/>
    <n v="0.40832395950506184"/>
  </r>
  <r>
    <x v="15"/>
    <n v="0.72335604859089875"/>
    <n v="35048"/>
    <s v="LAKE FOREST ELEMENTARY SCHOOL"/>
    <m/>
    <m/>
    <m/>
    <n v="433"/>
    <n v="2015"/>
    <n v="59.14"/>
    <n v="433"/>
    <n v="1"/>
  </r>
  <r>
    <x v="15"/>
    <n v="0.72335604859089875"/>
    <n v="35238"/>
    <s v="LAKE LUCINA ELEMENTARY SCHOOL"/>
    <m/>
    <m/>
    <m/>
    <n v="401"/>
    <n v="2015"/>
    <n v="59.14"/>
    <n v="401"/>
    <n v="1"/>
  </r>
  <r>
    <x v="15"/>
    <n v="0.72335604859089875"/>
    <n v="35088"/>
    <s v="LAKE SHORE MIDDLE SCHOOL"/>
    <m/>
    <m/>
    <m/>
    <n v="1164"/>
    <n v="2015"/>
    <n v="59.14"/>
    <n v="1164"/>
    <n v="1"/>
  </r>
  <r>
    <x v="15"/>
    <n v="0.72335604859089875"/>
    <n v="35158"/>
    <s v="LANDMARK MIDDLE SCHOOL"/>
    <m/>
    <m/>
    <n v="647"/>
    <n v="1243"/>
    <m/>
    <m/>
    <n v="647"/>
    <n v="0.52051488334674179"/>
  </r>
  <r>
    <x v="15"/>
    <n v="0.72335604859089875"/>
    <n v="228293"/>
    <s v="LAVILLA SCHOOL OF THE ARTS"/>
    <m/>
    <m/>
    <n v="363"/>
    <n v="1080"/>
    <m/>
    <m/>
    <n v="363"/>
    <n v="0.33611111111111114"/>
  </r>
  <r>
    <x v="15"/>
    <n v="0.72335604859089875"/>
    <n v="35160"/>
    <s v="LONE STAR ELEMENTARY SCHOOL"/>
    <m/>
    <m/>
    <m/>
    <n v="583"/>
    <n v="2015"/>
    <n v="59.14"/>
    <n v="583"/>
    <n v="1"/>
  </r>
  <r>
    <x v="15"/>
    <n v="0.72335604859089875"/>
    <n v="35007"/>
    <s v="LONG BRANCH ELEMENTARY SCHOOL"/>
    <m/>
    <m/>
    <m/>
    <n v="241"/>
    <n v="2015"/>
    <n v="59.14"/>
    <n v="241"/>
    <n v="1"/>
  </r>
  <r>
    <x v="15"/>
    <n v="0.72335604859089875"/>
    <n v="35153"/>
    <s v="LORETTO ELEMENTARY SCHOOL"/>
    <m/>
    <m/>
    <n v="311"/>
    <n v="1034"/>
    <m/>
    <m/>
    <n v="311"/>
    <n v="0.30077369439071566"/>
  </r>
  <r>
    <x v="15"/>
    <n v="0.72335604859089875"/>
    <n v="35161"/>
    <s v="LOUIS S. SHEFFIELD ELEMENTARY SCHOOL"/>
    <m/>
    <m/>
    <n v="343"/>
    <n v="836"/>
    <m/>
    <m/>
    <n v="343"/>
    <n v="0.41028708133971292"/>
  </r>
  <r>
    <x v="15"/>
    <n v="0.72335604859089875"/>
    <n v="35112"/>
    <s v="LOVE GROVE ELEMENTARY SCHOOL"/>
    <m/>
    <m/>
    <m/>
    <n v="399"/>
    <n v="2015"/>
    <n v="59.14"/>
    <n v="399"/>
    <n v="1"/>
  </r>
  <r>
    <x v="15"/>
    <n v="0.72335604859089875"/>
    <n v="35169"/>
    <s v="MAMIE AGNES JONES ELEMENTARY SCHOOL"/>
    <m/>
    <m/>
    <m/>
    <n v="447"/>
    <n v="2015"/>
    <n v="59.14"/>
    <n v="447"/>
    <n v="1"/>
  </r>
  <r>
    <x v="15"/>
    <n v="0.72335604859089875"/>
    <n v="35220"/>
    <s v="MANDARIN HIGH SCHOOL"/>
    <m/>
    <m/>
    <n v="641"/>
    <n v="2477"/>
    <m/>
    <m/>
    <n v="641"/>
    <n v="0.25878078320549053"/>
  </r>
  <r>
    <x v="15"/>
    <n v="0.72335604859089875"/>
    <n v="35211"/>
    <s v="MANDARIN MIDDLE SCHOOL"/>
    <m/>
    <m/>
    <n v="588"/>
    <n v="1433"/>
    <m/>
    <m/>
    <n v="588"/>
    <n v="0.41032798325191905"/>
  </r>
  <r>
    <x v="15"/>
    <n v="0.72335604859089875"/>
    <n v="35213"/>
    <s v="MANDARIN OAKS ELEMENTARY SCHOOL"/>
    <m/>
    <m/>
    <n v="499"/>
    <n v="1144"/>
    <m/>
    <m/>
    <n v="499"/>
    <n v="0.4361888111888112"/>
  </r>
  <r>
    <x v="15"/>
    <n v="0.72335604859089875"/>
    <n v="35042"/>
    <s v="MARTIN LUTHER KING, JR ELEMENTARY SCHOOL"/>
    <m/>
    <m/>
    <m/>
    <n v="481"/>
    <n v="2015"/>
    <n v="59.14"/>
    <n v="481"/>
    <n v="1"/>
  </r>
  <r>
    <x v="15"/>
    <n v="0.72335604859089875"/>
    <n v="35015"/>
    <s v="MATTHEW W. GILBERT MIDDLE SCHOOL"/>
    <m/>
    <m/>
    <m/>
    <n v="503"/>
    <n v="2015"/>
    <n v="59.14"/>
    <n v="503"/>
    <n v="1"/>
  </r>
  <r>
    <x v="15"/>
    <n v="0.72335604859089875"/>
    <n v="35014"/>
    <s v="MATTIE V RUTHERFORD ALT ED CENTER"/>
    <m/>
    <m/>
    <m/>
    <n v="78"/>
    <n v="2015"/>
    <n v="59.14"/>
    <n v="78"/>
    <n v="1"/>
  </r>
  <r>
    <x v="15"/>
    <n v="0.72335604859089875"/>
    <n v="35165"/>
    <s v="MAYPORT ELEMENTARY SCHOOL"/>
    <m/>
    <m/>
    <m/>
    <n v="462"/>
    <n v="2015"/>
    <n v="59.14"/>
    <n v="462"/>
    <n v="1"/>
  </r>
  <r>
    <x v="15"/>
    <n v="0.72335604859089875"/>
    <n v="35164"/>
    <s v="MAYPORT MIDDLE SCHOOL"/>
    <m/>
    <m/>
    <n v="375"/>
    <n v="800"/>
    <m/>
    <m/>
    <n v="375"/>
    <n v="0.46875"/>
  </r>
  <r>
    <x v="15"/>
    <n v="0.72335604859089875"/>
    <n v="35236"/>
    <s v="MERRILL ROAD ELEMENTARY SCHOOL"/>
    <m/>
    <m/>
    <m/>
    <n v="672"/>
    <n v="2015"/>
    <n v="59.14"/>
    <n v="672"/>
    <n v="1"/>
  </r>
  <r>
    <x v="15"/>
    <n v="0.72335604859089875"/>
    <n v="35070"/>
    <s v="MT. HERMAN ESE CENTER"/>
    <m/>
    <m/>
    <m/>
    <n v="152"/>
    <n v="2015"/>
    <n v="59.14"/>
    <n v="152"/>
    <n v="1"/>
  </r>
  <r>
    <x v="15"/>
    <n v="0.72335604859089875"/>
    <n v="35228"/>
    <s v="NEPTUNE BEACH ELEMENTARY SCHOOL"/>
    <m/>
    <m/>
    <n v="394"/>
    <n v="878"/>
    <m/>
    <m/>
    <n v="394"/>
    <n v="0.44874715261958997"/>
  </r>
  <r>
    <x v="15"/>
    <n v="0.72335604859089875"/>
    <n v="16036982"/>
    <s v="NEW BERLIN ELEMENTARY SCHOOL"/>
    <m/>
    <m/>
    <n v="435"/>
    <n v="1185"/>
    <m/>
    <m/>
    <n v="435"/>
    <n v="0.36708860759493672"/>
  </r>
  <r>
    <x v="15"/>
    <n v="0.72335604859089875"/>
    <n v="35079"/>
    <s v="NORMANDY VILLAGE ELEMENTARY SCHOOL"/>
    <m/>
    <m/>
    <m/>
    <n v="396"/>
    <n v="2015"/>
    <n v="59.14"/>
    <n v="396"/>
    <n v="1"/>
  </r>
  <r>
    <x v="15"/>
    <n v="0.72335604859089875"/>
    <n v="35051"/>
    <s v="NORTH SHORE ELEMENTARY"/>
    <m/>
    <m/>
    <m/>
    <n v="710"/>
    <n v="2015"/>
    <n v="59.14"/>
    <n v="710"/>
    <n v="1"/>
  </r>
  <r>
    <x v="15"/>
    <n v="0.72335604859089875"/>
    <n v="35057"/>
    <s v="NORTHWESTERN MIDDLE SCHOOL"/>
    <m/>
    <m/>
    <m/>
    <n v="521"/>
    <n v="2015"/>
    <n v="59.14"/>
    <n v="521"/>
    <n v="1"/>
  </r>
  <r>
    <x v="15"/>
    <n v="0.72335604859089875"/>
    <n v="35091"/>
    <s v="OAK HILL ELEMENTARY SCHOOL"/>
    <m/>
    <m/>
    <m/>
    <n v="526"/>
    <n v="2015"/>
    <n v="59.14"/>
    <n v="526"/>
    <n v="1"/>
  </r>
  <r>
    <x v="15"/>
    <n v="0.72335604859089875"/>
    <n v="35134"/>
    <s v="OCEANWAY ELEMENTARY SCHOOL"/>
    <m/>
    <m/>
    <m/>
    <n v="618"/>
    <n v="2015"/>
    <n v="59.14"/>
    <n v="618"/>
    <n v="1"/>
  </r>
  <r>
    <x v="15"/>
    <n v="0.72335604859089875"/>
    <n v="235338"/>
    <s v="OCEANWAY SCHOOL"/>
    <m/>
    <m/>
    <n v="567"/>
    <n v="1129"/>
    <m/>
    <m/>
    <n v="567"/>
    <n v="0.50221434898139949"/>
  </r>
  <r>
    <x v="15"/>
    <n v="0.72335604859089875"/>
    <n v="35083"/>
    <s v="ORTEGA ELEMENTARY SCHOOL"/>
    <m/>
    <m/>
    <m/>
    <n v="385"/>
    <n v="2015"/>
    <n v="59.14"/>
    <n v="385"/>
    <n v="1"/>
  </r>
  <r>
    <x v="15"/>
    <n v="0.72335604859089875"/>
    <n v="35202"/>
    <s v="PALM AVENUE EXCEP. STUDENT CENTER"/>
    <m/>
    <m/>
    <m/>
    <n v="149"/>
    <n v="2015"/>
    <n v="59.14"/>
    <n v="149"/>
    <n v="1"/>
  </r>
  <r>
    <x v="15"/>
    <n v="0.72335604859089875"/>
    <n v="35100"/>
    <s v="PARKWOOD HEIGHTS ELEMENTARY SCHOOL"/>
    <m/>
    <m/>
    <m/>
    <n v="421"/>
    <n v="2015"/>
    <n v="59.14"/>
    <n v="421"/>
    <n v="1"/>
  </r>
  <r>
    <x v="15"/>
    <n v="0.72335604859089875"/>
    <n v="35200"/>
    <s v="PAXON SCHOOL/ADVANCED STUDIES"/>
    <m/>
    <m/>
    <n v="398"/>
    <n v="1480"/>
    <m/>
    <m/>
    <n v="398"/>
    <n v="0.26891891891891889"/>
  </r>
  <r>
    <x v="15"/>
    <n v="0.72335604859089875"/>
    <n v="35198"/>
    <s v="PICKETT ELEMENTARY SCHOOL"/>
    <m/>
    <m/>
    <m/>
    <n v="225"/>
    <n v="2015"/>
    <n v="59.14"/>
    <n v="225"/>
    <n v="1"/>
  </r>
  <r>
    <x v="15"/>
    <n v="0.72335604859089875"/>
    <n v="35137"/>
    <s v="PINE ESTATES ELEMENTARY SCHOOL"/>
    <m/>
    <m/>
    <m/>
    <n v="283"/>
    <n v="2015"/>
    <n v="59.14"/>
    <n v="283"/>
    <n v="1"/>
  </r>
  <r>
    <x v="15"/>
    <n v="0.72335604859089875"/>
    <n v="35032"/>
    <s v="PINE FOREST ELEMENTARY SCHOOL"/>
    <m/>
    <m/>
    <n v="200"/>
    <n v="440"/>
    <m/>
    <m/>
    <n v="200"/>
    <n v="0.45454545454545453"/>
  </r>
  <r>
    <x v="15"/>
    <n v="0.72335604859089875"/>
    <n v="35207"/>
    <s v="PINEDALE ELEMENTARY SCHOOL"/>
    <m/>
    <m/>
    <m/>
    <n v="397"/>
    <n v="2015"/>
    <n v="59.14"/>
    <n v="397"/>
    <n v="1"/>
  </r>
  <r>
    <x v="15"/>
    <n v="0.72335604859089875"/>
    <n v="35065"/>
    <s v="R. V. DANIELS ELEMENTARY SCHOOL"/>
    <m/>
    <m/>
    <m/>
    <n v="397"/>
    <n v="2015"/>
    <n v="59.14"/>
    <n v="397"/>
    <n v="1"/>
  </r>
  <r>
    <x v="15"/>
    <n v="0.72335604859089875"/>
    <n v="34996"/>
    <s v="RAMONA BOULEVARD ELEMENTARY SCHOOL"/>
    <m/>
    <m/>
    <m/>
    <n v="430"/>
    <n v="2015"/>
    <n v="59.14"/>
    <n v="430"/>
    <n v="1"/>
  </r>
  <r>
    <x v="15"/>
    <n v="0.72335604859089875"/>
    <n v="35204"/>
    <s v="REYNOLDS LANE ELEMENTARY SCHOOL"/>
    <m/>
    <m/>
    <m/>
    <n v="240"/>
    <n v="2015"/>
    <n v="59.14"/>
    <n v="240"/>
    <n v="1"/>
  </r>
  <r>
    <x v="15"/>
    <n v="0.72335604859089875"/>
    <n v="35016"/>
    <s v="RICHARD L. BROWN ELEMENTARY SCHOOL"/>
    <m/>
    <m/>
    <m/>
    <n v="371"/>
    <n v="2015"/>
    <n v="59.14"/>
    <n v="371"/>
    <n v="1"/>
  </r>
  <r>
    <x v="15"/>
    <n v="0.72335604859089875"/>
    <n v="35002"/>
    <s v="ROBERT E. LEE HIGH SCHOOL"/>
    <m/>
    <m/>
    <m/>
    <n v="2000"/>
    <n v="2015"/>
    <n v="59.14"/>
    <n v="2000"/>
    <n v="1"/>
  </r>
  <r>
    <x v="15"/>
    <n v="0.72335604859089875"/>
    <n v="35052"/>
    <s v="RUFUS E. PAYNE ELEMENTARY SCHOOL"/>
    <m/>
    <m/>
    <m/>
    <n v="285"/>
    <n v="2015"/>
    <n v="59.14"/>
    <n v="285"/>
    <n v="1"/>
  </r>
  <r>
    <x v="15"/>
    <n v="0.72335604859089875"/>
    <n v="34999"/>
    <s v="RUTH N. UPSON ELEMENTARY SCHOOL"/>
    <m/>
    <m/>
    <m/>
    <n v="461"/>
    <n v="2015"/>
    <n v="59.14"/>
    <n v="461"/>
    <n v="1"/>
  </r>
  <r>
    <x v="15"/>
    <n v="0.72335604859089875"/>
    <n v="35040"/>
    <s v="RUTLEDGE H. PEARSON ELEMENTARY SCHOOL"/>
    <m/>
    <m/>
    <m/>
    <n v="283"/>
    <n v="2015"/>
    <n v="59.14"/>
    <n v="283"/>
    <n v="1"/>
  </r>
  <r>
    <x v="15"/>
    <n v="0.72335604859089875"/>
    <n v="35145"/>
    <s v="S. A. HULL ELEMENTARY SCHOOL"/>
    <m/>
    <m/>
    <m/>
    <n v="272"/>
    <n v="2015"/>
    <n v="59.14"/>
    <n v="272"/>
    <n v="1"/>
  </r>
  <r>
    <x v="15"/>
    <n v="0.72335604859089875"/>
    <n v="35157"/>
    <s v="SABAL PALM ELEMENTARY SCHOOL"/>
    <m/>
    <m/>
    <n v="428"/>
    <n v="1041"/>
    <m/>
    <m/>
    <n v="428"/>
    <n v="0.41114313160422672"/>
  </r>
  <r>
    <x v="15"/>
    <n v="0.72335604859089875"/>
    <n v="35180"/>
    <s v="SADIE T. TILLIS ELEMENTARY SCHOOL"/>
    <m/>
    <m/>
    <m/>
    <n v="555"/>
    <n v="2015"/>
    <n v="59.14"/>
    <n v="555"/>
    <n v="1"/>
  </r>
  <r>
    <x v="15"/>
    <n v="0.72335604859089875"/>
    <n v="35058"/>
    <s v="SAINT CLAIR EVANS ACADEMY"/>
    <m/>
    <m/>
    <m/>
    <n v="398"/>
    <n v="2015"/>
    <n v="59.14"/>
    <n v="398"/>
    <n v="1"/>
  </r>
  <r>
    <x v="15"/>
    <n v="0.72335604859089875"/>
    <n v="35044"/>
    <s v="SALLYE B. MATHIS ELEMENTARY SCHOOL"/>
    <m/>
    <m/>
    <m/>
    <n v="396"/>
    <n v="2015"/>
    <n v="59.14"/>
    <n v="396"/>
    <n v="1"/>
  </r>
  <r>
    <x v="15"/>
    <n v="0.72335604859089875"/>
    <n v="35128"/>
    <s v="SAMUEL W. WOLFSON HIGH SCHOOL"/>
    <m/>
    <m/>
    <m/>
    <n v="1101"/>
    <n v="2015"/>
    <n v="59.14"/>
    <n v="1101"/>
    <n v="1"/>
  </r>
  <r>
    <x v="15"/>
    <n v="0.72335604859089875"/>
    <n v="35036"/>
    <s v="SAN JOSE ELEMENTARY SCHOOL"/>
    <m/>
    <m/>
    <m/>
    <n v="823"/>
    <n v="2015"/>
    <n v="59.14"/>
    <n v="823"/>
    <n v="1"/>
  </r>
  <r>
    <x v="15"/>
    <n v="0.72335604859089875"/>
    <n v="35135"/>
    <s v="SAN MATEO ELEMENTARY SCHOOL"/>
    <m/>
    <m/>
    <n v="308"/>
    <n v="642"/>
    <m/>
    <m/>
    <n v="308"/>
    <n v="0.47975077881619937"/>
  </r>
  <r>
    <x v="15"/>
    <n v="0.72335604859089875"/>
    <n v="35194"/>
    <s v="SAN PABLO ELEMENTARY SCHOOL"/>
    <m/>
    <m/>
    <n v="187"/>
    <n v="531"/>
    <m/>
    <m/>
    <n v="187"/>
    <n v="0.35216572504708099"/>
  </r>
  <r>
    <x v="15"/>
    <n v="0.72335604859089875"/>
    <n v="35186"/>
    <s v="SANDALWOOD HIGH SCHOOL"/>
    <m/>
    <m/>
    <n v="1153"/>
    <n v="2783"/>
    <m/>
    <m/>
    <n v="1153"/>
    <n v="0.414301113905857"/>
  </r>
  <r>
    <x v="15"/>
    <n v="0.72335604859089875"/>
    <n v="16067855"/>
    <s v="SCHOOL FOR THE FUTURE"/>
    <m/>
    <m/>
    <m/>
    <n v="444"/>
    <n v="2015"/>
    <n v="59.14"/>
    <n v="444"/>
    <n v="1"/>
  </r>
  <r>
    <x v="15"/>
    <n v="0.72335604859089875"/>
    <n v="35190"/>
    <s v="SEABREEZE ELEMENTARY SCHOOL"/>
    <m/>
    <m/>
    <n v="231"/>
    <n v="598"/>
    <m/>
    <m/>
    <n v="231"/>
    <n v="0.38628762541806022"/>
  </r>
  <r>
    <x v="15"/>
    <n v="0.72335604859089875"/>
    <n v="35075"/>
    <s v="SMART POPE LIVINGSTON ELEMENTARY"/>
    <m/>
    <m/>
    <m/>
    <n v="443"/>
    <n v="2015"/>
    <n v="59.14"/>
    <n v="443"/>
    <n v="1"/>
  </r>
  <r>
    <x v="15"/>
    <n v="0.72335604859089875"/>
    <n v="35185"/>
    <s v="SOUTHSIDE ESTATES ELEMENTARY SCHOOL"/>
    <m/>
    <m/>
    <m/>
    <n v="535"/>
    <n v="2015"/>
    <n v="59.14"/>
    <n v="535"/>
    <n v="1"/>
  </r>
  <r>
    <x v="15"/>
    <n v="0.72335604859089875"/>
    <n v="35118"/>
    <s v="SOUTHSIDE MIDDLE SCHOOL"/>
    <m/>
    <m/>
    <m/>
    <n v="750"/>
    <n v="2015"/>
    <n v="59.14"/>
    <n v="750"/>
    <n v="1"/>
  </r>
  <r>
    <x v="15"/>
    <n v="0.72335604859089875"/>
    <n v="35028"/>
    <s v="SPRING PARK ELEMENTARY SCHOOL"/>
    <m/>
    <m/>
    <m/>
    <n v="425"/>
    <n v="2015"/>
    <n v="59.14"/>
    <n v="425"/>
    <n v="1"/>
  </r>
  <r>
    <x v="15"/>
    <n v="0.72335604859089875"/>
    <n v="35069"/>
    <s v="STANTON COLLEGE PREPARATORY"/>
    <m/>
    <m/>
    <n v="204"/>
    <n v="1504"/>
    <m/>
    <m/>
    <n v="204"/>
    <n v="0.13563829787234041"/>
  </r>
  <r>
    <x v="15"/>
    <n v="0.72335604859089875"/>
    <n v="35087"/>
    <s v="STONEWALL JACKSON ELEMENTARY SCHOOL"/>
    <m/>
    <m/>
    <m/>
    <n v="304"/>
    <n v="2015"/>
    <n v="59.14"/>
    <n v="304"/>
    <n v="1"/>
  </r>
  <r>
    <x v="15"/>
    <n v="0.72335604859089875"/>
    <n v="35064"/>
    <s v="SUSIE E. TOLBERT ELEMENTARY SCHOOL"/>
    <m/>
    <m/>
    <m/>
    <n v="334"/>
    <n v="2015"/>
    <n v="59.14"/>
    <n v="334"/>
    <n v="1"/>
  </r>
  <r>
    <x v="15"/>
    <n v="0.72335604859089875"/>
    <n v="35101"/>
    <s v="TERRY PARKER HIGH SCHOOL"/>
    <m/>
    <m/>
    <m/>
    <n v="1709"/>
    <n v="2015"/>
    <n v="59.14"/>
    <n v="1709"/>
    <n v="1"/>
  </r>
  <r>
    <x v="15"/>
    <n v="0.72335604859089875"/>
    <n v="35148"/>
    <s v="THOMAS JEFFERSON ELEMENTARY"/>
    <m/>
    <m/>
    <m/>
    <n v="532"/>
    <n v="2015"/>
    <n v="59.14"/>
    <n v="532"/>
    <n v="1"/>
  </r>
  <r>
    <x v="15"/>
    <n v="0.72335604859089875"/>
    <n v="35178"/>
    <s v="TIMUCUAN ELEMENTARY SCHOOL"/>
    <m/>
    <m/>
    <m/>
    <n v="582"/>
    <n v="2015"/>
    <n v="59.14"/>
    <n v="582"/>
    <n v="1"/>
  </r>
  <r>
    <x v="15"/>
    <n v="0.72335604859089875"/>
    <n v="212667"/>
    <s v="TWIN LAKES ACADEMY ELEMENTARY SCHOOL"/>
    <m/>
    <m/>
    <n v="369"/>
    <n v="865"/>
    <m/>
    <m/>
    <n v="369"/>
    <n v="0.42658959537572255"/>
  </r>
  <r>
    <x v="15"/>
    <n v="0.72335604859089875"/>
    <n v="212669"/>
    <s v="TWIN LAKES ACADEMY MIDDLE SCHOOL"/>
    <m/>
    <m/>
    <n v="555"/>
    <n v="1185"/>
    <m/>
    <m/>
    <n v="555"/>
    <n v="0.46835443037974683"/>
  </r>
  <r>
    <x v="15"/>
    <n v="0.72335604859089875"/>
    <n v="35097"/>
    <s v="VENETIA ELEMENTARY SCHOOL"/>
    <m/>
    <m/>
    <m/>
    <n v="399"/>
    <n v="2015"/>
    <n v="59.14"/>
    <n v="399"/>
    <n v="1"/>
  </r>
  <r>
    <x v="15"/>
    <n v="0.72335604859089875"/>
    <n v="16067854"/>
    <s v="WATERLEAF ELEMENTARY"/>
    <m/>
    <m/>
    <n v="379"/>
    <n v="821"/>
    <m/>
    <m/>
    <n v="379"/>
    <n v="0.46163215590742995"/>
  </r>
  <r>
    <x v="15"/>
    <n v="0.72335604859089875"/>
    <n v="16072634"/>
    <s v="WEST JACKSONVILLE ELEMENTARY SCHOOL"/>
    <m/>
    <m/>
    <m/>
    <n v="262"/>
    <n v="2015"/>
    <n v="59.14"/>
    <n v="262"/>
    <n v="1"/>
  </r>
  <r>
    <x v="15"/>
    <n v="0.72335604859089875"/>
    <n v="35004"/>
    <s v="WEST RIVERSIDE ELEMENTARY SCHOOL"/>
    <m/>
    <m/>
    <m/>
    <n v="302"/>
    <n v="2015"/>
    <n v="59.14"/>
    <n v="302"/>
    <n v="1"/>
  </r>
  <r>
    <x v="15"/>
    <n v="0.72335604859089875"/>
    <n v="35175"/>
    <s v="WESTSIDE HIGH SCHOOL"/>
    <m/>
    <m/>
    <m/>
    <n v="1509"/>
    <n v="2015"/>
    <n v="59.14"/>
    <n v="1509"/>
    <n v="1"/>
  </r>
  <r>
    <x v="15"/>
    <n v="0.72335604859089875"/>
    <n v="16054992"/>
    <s v="WESTVIEW K-8"/>
    <m/>
    <m/>
    <m/>
    <n v="1229"/>
    <n v="2015"/>
    <n v="59.14"/>
    <n v="1229"/>
    <n v="1"/>
  </r>
  <r>
    <x v="15"/>
    <n v="0.72335604859089875"/>
    <n v="35147"/>
    <s v="WHITEHOUSE ELEMENTARY SCHOOL"/>
    <m/>
    <m/>
    <m/>
    <n v="519"/>
    <n v="2015"/>
    <n v="59.14"/>
    <n v="519"/>
    <n v="1"/>
  </r>
  <r>
    <x v="15"/>
    <n v="0.72335604859089875"/>
    <n v="35053"/>
    <s v="WILLIAM M. RAINES HIGH SCHOOL"/>
    <m/>
    <m/>
    <m/>
    <n v="1050"/>
    <n v="2015"/>
    <n v="59.14"/>
    <n v="1050"/>
    <n v="1"/>
  </r>
  <r>
    <x v="15"/>
    <n v="0.72335604859089875"/>
    <n v="35187"/>
    <s v="WINDY HILL ELEMENTARY SCHOOL"/>
    <m/>
    <m/>
    <m/>
    <n v="649"/>
    <n v="2015"/>
    <n v="59.14"/>
    <n v="649"/>
    <n v="1"/>
  </r>
  <r>
    <x v="15"/>
    <n v="0.72335604859089875"/>
    <n v="35109"/>
    <s v="WOODLAND ACRES ELEMENTARY SCHOOL"/>
    <m/>
    <m/>
    <m/>
    <n v="817"/>
    <n v="2015"/>
    <n v="59.14"/>
    <n v="817"/>
    <n v="1"/>
  </r>
  <r>
    <x v="15"/>
    <n v="0.72335604859089875"/>
    <n v="17004280"/>
    <s v="YOUTH DEVELOPMENT CENTER"/>
    <m/>
    <m/>
    <n v="24"/>
    <n v="47"/>
    <m/>
    <m/>
    <n v="24"/>
    <n v="0.51063829787234039"/>
  </r>
  <r>
    <x v="15"/>
    <n v="0.72335604859089875"/>
    <n v="35237"/>
    <s v="Grasp Academy"/>
    <m/>
    <m/>
    <m/>
    <n v="228"/>
    <m/>
    <m/>
    <n v="0"/>
    <n v="0"/>
  </r>
  <r>
    <x v="16"/>
    <n v="0.71662478105247129"/>
    <n v="35503"/>
    <s v="A. K. SUTER ELEMENTARY SCHOOL"/>
    <m/>
    <m/>
    <n v="253"/>
    <n v="538"/>
    <m/>
    <m/>
    <n v="253"/>
    <n v="0.47026022304832715"/>
  </r>
  <r>
    <x v="16"/>
    <n v="0.71662478105247129"/>
    <n v="35548"/>
    <s v="BELLVIEW ELEMENTARY SCHOOL"/>
    <m/>
    <m/>
    <m/>
    <n v="753"/>
    <n v="2015"/>
    <n v="66.81"/>
    <n v="753"/>
    <n v="1"/>
  </r>
  <r>
    <x v="16"/>
    <n v="0.71662478105247129"/>
    <n v="35549"/>
    <s v="BELLVIEW MIDDLE SCHOOL"/>
    <m/>
    <m/>
    <m/>
    <n v="1034"/>
    <n v="2015"/>
    <n v="70.66"/>
    <n v="1034"/>
    <n v="1"/>
  </r>
  <r>
    <x v="16"/>
    <n v="0.71662478105247129"/>
    <n v="35552"/>
    <s v="BEULAH ELEMENTARY SCHOOL"/>
    <m/>
    <m/>
    <n v="481"/>
    <n v="959"/>
    <m/>
    <m/>
    <n v="481"/>
    <n v="0.50156412930135563"/>
  </r>
  <r>
    <x v="16"/>
    <n v="0.71662478105247129"/>
    <n v="224587"/>
    <s v="BLUE ANGELS ELEMENTARY SCHOOL"/>
    <m/>
    <m/>
    <n v="487"/>
    <n v="958"/>
    <m/>
    <m/>
    <n v="487"/>
    <n v="0.50835073068893533"/>
  </r>
  <r>
    <x v="16"/>
    <n v="0.71662478105247129"/>
    <n v="35567"/>
    <s v="BRATT ELEMENTARY SCHOOL"/>
    <m/>
    <m/>
    <n v="293"/>
    <n v="452"/>
    <m/>
    <m/>
    <n v="293"/>
    <n v="0.64823008849557517"/>
  </r>
  <r>
    <x v="16"/>
    <n v="0.71662478105247129"/>
    <n v="35514"/>
    <s v="BRENTWOOD ELEMENTARY SCHOOL"/>
    <m/>
    <m/>
    <m/>
    <n v="575"/>
    <n v="2015"/>
    <n v="74.16"/>
    <n v="575"/>
    <n v="1"/>
  </r>
  <r>
    <x v="16"/>
    <n v="0.71662478105247129"/>
    <n v="35493"/>
    <s v="BROWN BARGE MIDDLE SCHOOL"/>
    <m/>
    <m/>
    <n v="211"/>
    <n v="538"/>
    <m/>
    <m/>
    <n v="211"/>
    <n v="0.39219330855018586"/>
  </r>
  <r>
    <x v="16"/>
    <n v="0.71662478105247129"/>
    <n v="35518"/>
    <s v="C. A. WEIS ELEMENTARY SCHOOL"/>
    <m/>
    <m/>
    <m/>
    <n v="556"/>
    <n v="2015"/>
    <n v="89.83"/>
    <n v="556"/>
    <n v="1"/>
  </r>
  <r>
    <x v="16"/>
    <n v="0.71662478105247129"/>
    <n v="35530"/>
    <s v="CAMELOT ACADEMY OF ESCAMBIA COUNTY"/>
    <m/>
    <m/>
    <m/>
    <n v="158"/>
    <n v="2015"/>
    <n v="79.02"/>
    <n v="158"/>
    <n v="1"/>
  </r>
  <r>
    <x v="16"/>
    <n v="0.71662478105247129"/>
    <n v="35494"/>
    <s v="CORDOVA PARK ELEMENTARY SCHOOL"/>
    <m/>
    <m/>
    <n v="256"/>
    <n v="684"/>
    <m/>
    <m/>
    <n v="256"/>
    <n v="0.3742690058479532"/>
  </r>
  <r>
    <x v="16"/>
    <n v="0.71662478105247129"/>
    <n v="186701"/>
    <s v="COUNTY ADMINISTRATIVE ANNEX"/>
    <m/>
    <s v="COUNTY ADMINISTRATIVE ANNEX"/>
    <m/>
    <m/>
    <m/>
    <m/>
    <n v="0"/>
    <n v="0"/>
  </r>
  <r>
    <x v="16"/>
    <n v="0.71662478105247129"/>
    <n v="35541"/>
    <s v="ENSLEY ELEMENTARY SCHOOL"/>
    <m/>
    <m/>
    <m/>
    <n v="532"/>
    <n v="2015"/>
    <n v="80.430000000000007"/>
    <n v="532"/>
    <n v="1"/>
  </r>
  <r>
    <x v="16"/>
    <n v="0.71662478105247129"/>
    <n v="35620"/>
    <s v="ERNEST WARD MIDDLE SCHOOL"/>
    <m/>
    <m/>
    <n v="282"/>
    <n v="455"/>
    <m/>
    <m/>
    <n v="282"/>
    <n v="0.6197802197802198"/>
  </r>
  <r>
    <x v="16"/>
    <n v="0.71662478105247129"/>
    <n v="16050698"/>
    <s v="ESCAMBIA DISTRICT OFFICE"/>
    <m/>
    <m/>
    <m/>
    <n v="0"/>
    <m/>
    <m/>
    <n v="0"/>
    <n v="0"/>
  </r>
  <r>
    <x v="16"/>
    <n v="0.71662478105247129"/>
    <n v="35522"/>
    <s v="ESCAMBIA HIGH SCHOOL"/>
    <m/>
    <m/>
    <n v="1091"/>
    <n v="1749"/>
    <m/>
    <m/>
    <n v="1091"/>
    <n v="0.6237850200114351"/>
  </r>
  <r>
    <x v="16"/>
    <n v="0.71662478105247129"/>
    <n v="17002439"/>
    <s v="ESCAMBIA VIRTUAL ACADEMY FRANCHISE"/>
    <m/>
    <m/>
    <n v="46"/>
    <n v="186"/>
    <m/>
    <m/>
    <n v="46"/>
    <n v="0.24731182795698925"/>
  </r>
  <r>
    <x v="16"/>
    <n v="0.71662478105247129"/>
    <n v="17002440"/>
    <s v="ESCAMBIA VIRTUAL INSTRUCTION (COURSE OFFERINGS)"/>
    <m/>
    <m/>
    <m/>
    <n v="0"/>
    <m/>
    <m/>
    <n v="0"/>
    <n v="0"/>
  </r>
  <r>
    <x v="16"/>
    <n v="0.71662478105247129"/>
    <n v="17002441"/>
    <s v="ESCAMBIA VIRTUAL INSTRUCTION PROGRAM"/>
    <m/>
    <m/>
    <n v="11"/>
    <n v="52"/>
    <m/>
    <m/>
    <n v="11"/>
    <n v="0.21153846153846154"/>
  </r>
  <r>
    <x v="16"/>
    <n v="0.71662478105247129"/>
    <n v="17002442"/>
    <s v="ESCAMBIA VIRTUAL INSTRUCTIONAL PROGRAM (DISTRICT PROVIDED)"/>
    <m/>
    <m/>
    <m/>
    <s v="*"/>
    <m/>
    <m/>
    <n v="0"/>
    <n v="0"/>
  </r>
  <r>
    <x v="16"/>
    <n v="0.71662478105247129"/>
    <n v="35565"/>
    <s v="ESCAMBIA WESTGATE CENTER"/>
    <m/>
    <m/>
    <m/>
    <n v="233"/>
    <n v="2015"/>
    <n v="54.24"/>
    <n v="233"/>
    <n v="1"/>
  </r>
  <r>
    <x v="16"/>
    <n v="0.71662478105247129"/>
    <n v="35543"/>
    <s v="FERRY PASS ELEMENTARY SCHOOL"/>
    <m/>
    <m/>
    <m/>
    <n v="696"/>
    <n v="2015"/>
    <n v="67.31"/>
    <n v="696"/>
    <n v="1"/>
  </r>
  <r>
    <x v="16"/>
    <n v="0.71662478105247129"/>
    <n v="35545"/>
    <s v="FERRY PASS MIDDLE SCHOOL"/>
    <m/>
    <m/>
    <n v="690"/>
    <n v="1031"/>
    <m/>
    <m/>
    <n v="690"/>
    <n v="0.66925315227934046"/>
  </r>
  <r>
    <x v="16"/>
    <n v="0.71662478105247129"/>
    <n v="16064830"/>
    <s v="GLOBAL LEARNING ACADEMY"/>
    <m/>
    <m/>
    <m/>
    <n v="763"/>
    <n v="2015"/>
    <n v="87.34"/>
    <n v="763"/>
    <n v="1"/>
  </r>
  <r>
    <x v="16"/>
    <n v="0.71662478105247129"/>
    <n v="35525"/>
    <s v="HELLEN CARO ELEMENTARY SCHOOL"/>
    <m/>
    <m/>
    <n v="317"/>
    <n v="888"/>
    <m/>
    <m/>
    <n v="317"/>
    <n v="0.356981981981982"/>
  </r>
  <r>
    <x v="16"/>
    <n v="0.71662478105247129"/>
    <n v="202873"/>
    <s v="HOSPITAL &amp; HOMEBOUND"/>
    <m/>
    <m/>
    <n v="9"/>
    <n v="21"/>
    <m/>
    <m/>
    <n v="9"/>
    <n v="0.42857142857142855"/>
  </r>
  <r>
    <x v="16"/>
    <n v="0.71662478105247129"/>
    <n v="35509"/>
    <s v="J. H. WORKMAN MIDDLE SCHOOL"/>
    <m/>
    <m/>
    <m/>
    <n v="859"/>
    <n v="2015"/>
    <n v="60.11"/>
    <n v="859"/>
    <n v="1"/>
  </r>
  <r>
    <x v="16"/>
    <n v="0.71662478105247129"/>
    <n v="35603"/>
    <s v="J. M. TATE SENIOR HIGH SCHOOL"/>
    <m/>
    <m/>
    <n v="848"/>
    <n v="2202"/>
    <m/>
    <m/>
    <n v="848"/>
    <n v="0.38510445049954589"/>
  </r>
  <r>
    <x v="16"/>
    <n v="0.71662478105247129"/>
    <n v="35560"/>
    <s v="JIM ALLEN ELEMENTARY SCHOOL"/>
    <m/>
    <m/>
    <m/>
    <n v="645"/>
    <n v="2015"/>
    <n v="62.14"/>
    <n v="645"/>
    <n v="1"/>
  </r>
  <r>
    <x v="16"/>
    <n v="0.71662478105247129"/>
    <n v="35526"/>
    <s v="JIM C. BAILEY MIDDLE SCHOOL"/>
    <m/>
    <m/>
    <n v="786"/>
    <n v="1353"/>
    <m/>
    <m/>
    <n v="786"/>
    <n v="0.58093126385809313"/>
  </r>
  <r>
    <x v="16"/>
    <n v="0.71662478105247129"/>
    <n v="35533"/>
    <s v="JUDY ANDREWS SECOND CHANCE CENTER"/>
    <m/>
    <m/>
    <m/>
    <n v="74"/>
    <n v="2015"/>
    <n v="66.67"/>
    <n v="74"/>
    <n v="1"/>
  </r>
  <r>
    <x v="16"/>
    <n v="0.71662478105247129"/>
    <n v="35564"/>
    <s v="L. D. MCARTHUR ELEMENTARY SCHOOL"/>
    <m/>
    <m/>
    <n v="520"/>
    <n v="771"/>
    <m/>
    <m/>
    <n v="520"/>
    <n v="0.67444876783398189"/>
  </r>
  <r>
    <x v="16"/>
    <n v="0.71662478105247129"/>
    <n v="35563"/>
    <s v="LINCOLN PARK ELEMENTARY SCHOOL"/>
    <m/>
    <m/>
    <m/>
    <n v="213"/>
    <n v="2015"/>
    <n v="76.8"/>
    <n v="213"/>
    <n v="1"/>
  </r>
  <r>
    <x v="16"/>
    <n v="0.71662478105247129"/>
    <n v="35555"/>
    <s v="LONGLEAF ELEMENTARY SCHOOL"/>
    <m/>
    <m/>
    <m/>
    <n v="777"/>
    <n v="2015"/>
    <n v="64.38"/>
    <n v="777"/>
    <n v="1"/>
  </r>
  <r>
    <x v="16"/>
    <n v="0.71662478105247129"/>
    <n v="35481"/>
    <s v="MCMILLIAN LEARNING CENTER"/>
    <m/>
    <m/>
    <m/>
    <n v="133"/>
    <n v="2015"/>
    <n v="71.97"/>
    <n v="133"/>
    <n v="1"/>
  </r>
  <r>
    <x v="16"/>
    <n v="0.71662478105247129"/>
    <n v="35645"/>
    <s v="MOLINO PARK ELEMENTARY"/>
    <m/>
    <m/>
    <n v="279"/>
    <n v="446"/>
    <m/>
    <m/>
    <n v="279"/>
    <n v="0.62556053811659196"/>
  </r>
  <r>
    <x v="16"/>
    <n v="0.71662478105247129"/>
    <n v="35515"/>
    <s v="MONTCLAIR ELEMENTARY SCHOOL"/>
    <m/>
    <m/>
    <m/>
    <n v="390"/>
    <n v="2015"/>
    <n v="90.78"/>
    <n v="390"/>
    <n v="1"/>
  </r>
  <r>
    <x v="16"/>
    <n v="0.71662478105247129"/>
    <n v="35523"/>
    <s v="MYRTLE GROVE ELEMENTARY SCHOOL"/>
    <m/>
    <m/>
    <m/>
    <n v="667"/>
    <n v="2015"/>
    <n v="74.77"/>
    <n v="667"/>
    <n v="1"/>
  </r>
  <r>
    <x v="16"/>
    <n v="0.71662478105247129"/>
    <n v="35486"/>
    <s v="N. B. COOK ELEMENTARY SCHOOL"/>
    <m/>
    <m/>
    <n v="213"/>
    <n v="596"/>
    <m/>
    <m/>
    <n v="213"/>
    <n v="0.35738255033557048"/>
  </r>
  <r>
    <x v="16"/>
    <n v="0.71662478105247129"/>
    <n v="35531"/>
    <s v="NAVY POINT ELEMENTARY SCHOOL"/>
    <m/>
    <m/>
    <m/>
    <n v="501"/>
    <n v="2015"/>
    <n v="74.89"/>
    <n v="501"/>
    <n v="1"/>
  </r>
  <r>
    <x v="16"/>
    <n v="0.71662478105247129"/>
    <n v="35570"/>
    <s v="NORTHVIEW HIGH SCHOOL"/>
    <m/>
    <m/>
    <n v="281"/>
    <n v="516"/>
    <m/>
    <m/>
    <n v="281"/>
    <n v="0.54457364341085268"/>
  </r>
  <r>
    <x v="16"/>
    <n v="0.71662478105247129"/>
    <n v="35496"/>
    <s v="O. J. SEMMES ELEMENTARY SCHOOL"/>
    <m/>
    <m/>
    <m/>
    <n v="428"/>
    <n v="2015"/>
    <n v="87.7"/>
    <n v="428"/>
    <n v="1"/>
  </r>
  <r>
    <x v="16"/>
    <n v="0.71662478105247129"/>
    <n v="35516"/>
    <s v="OAKCREST ELEMENTARY SCHOOL"/>
    <m/>
    <m/>
    <m/>
    <n v="577"/>
    <n v="2015"/>
    <n v="83.29"/>
    <n v="577"/>
    <n v="1"/>
  </r>
  <r>
    <x v="16"/>
    <n v="0.71662478105247129"/>
    <n v="35482"/>
    <s v="PENSACOLA HIGH SCHOOL"/>
    <m/>
    <m/>
    <n v="890"/>
    <n v="1448"/>
    <m/>
    <m/>
    <n v="890"/>
    <n v="0.61464088397790051"/>
  </r>
  <r>
    <x v="16"/>
    <n v="0.71662478105247129"/>
    <n v="35556"/>
    <s v="PINE FOREST HIGH SCHOOL"/>
    <m/>
    <m/>
    <m/>
    <n v="1706"/>
    <n v="2015"/>
    <n v="54.31"/>
    <n v="1706"/>
    <n v="1"/>
  </r>
  <r>
    <x v="16"/>
    <n v="0.71662478105247129"/>
    <n v="35562"/>
    <s v="PINE MEADOW ELEMENTARY SCHOOL"/>
    <m/>
    <m/>
    <n v="482"/>
    <n v="915"/>
    <m/>
    <m/>
    <n v="482"/>
    <n v="0.52677595628415297"/>
  </r>
  <r>
    <x v="16"/>
    <n v="0.71662478105247129"/>
    <n v="35538"/>
    <s v="PLEASANT GROVE ELEMENTARY SCHOOL"/>
    <m/>
    <m/>
    <m/>
    <n v="666"/>
    <n v="2015"/>
    <n v="56.9"/>
    <n v="666"/>
    <n v="1"/>
  </r>
  <r>
    <x v="16"/>
    <n v="0.71662478105247129"/>
    <n v="35566"/>
    <s v="R. C. LIPSCOMB ELEMENTARY SCHOOL"/>
    <m/>
    <m/>
    <n v="465"/>
    <n v="920"/>
    <m/>
    <m/>
    <n v="465"/>
    <n v="0.50543478260869568"/>
  </r>
  <r>
    <x v="16"/>
    <n v="0.71662478105247129"/>
    <n v="35559"/>
    <s v="RANSOM MIDDLE SCHOOL"/>
    <m/>
    <m/>
    <n v="627"/>
    <n v="1332"/>
    <m/>
    <m/>
    <n v="627"/>
    <n v="0.47072072072072074"/>
  </r>
  <r>
    <x v="16"/>
    <n v="0.71662478105247129"/>
    <n v="35508"/>
    <s v="REINHARDT HOLM ELEMENTARY SCHOOL"/>
    <m/>
    <m/>
    <m/>
    <n v="495"/>
    <n v="2015"/>
    <n v="75.959999999999994"/>
    <n v="495"/>
    <n v="1"/>
  </r>
  <r>
    <x v="16"/>
    <n v="0.71662478105247129"/>
    <n v="35506"/>
    <s v="SCENIC HEIGHTS ELEMENTARY SCHOOL"/>
    <m/>
    <m/>
    <n v="495"/>
    <n v="808"/>
    <m/>
    <m/>
    <n v="495"/>
    <n v="0.61262376237623761"/>
  </r>
  <r>
    <x v="16"/>
    <n v="0.71662478105247129"/>
    <n v="35521"/>
    <s v="SHERWOOD ELEMENTARY SCHOOL"/>
    <m/>
    <m/>
    <m/>
    <n v="624"/>
    <n v="2015"/>
    <n v="75.36"/>
    <n v="624"/>
    <n v="1"/>
  </r>
  <r>
    <x v="16"/>
    <n v="0.71662478105247129"/>
    <n v="35532"/>
    <s v="WARRINGTON ELEMENTARY SCHOOL"/>
    <m/>
    <m/>
    <m/>
    <n v="459"/>
    <n v="2015"/>
    <n v="86.19"/>
    <n v="459"/>
    <n v="1"/>
  </r>
  <r>
    <x v="16"/>
    <n v="0.71662478105247129"/>
    <n v="35534"/>
    <s v="WARRINGTON MIDDLE SCHOOL"/>
    <m/>
    <m/>
    <m/>
    <n v="669"/>
    <n v="2015"/>
    <n v="82.95"/>
    <n v="669"/>
    <n v="1"/>
  </r>
  <r>
    <x v="16"/>
    <n v="0.71662478105247129"/>
    <n v="35507"/>
    <s v="WASHINGTON SENIOR HIGH SCHOOL"/>
    <m/>
    <m/>
    <n v="943"/>
    <n v="1805"/>
    <m/>
    <m/>
    <n v="943"/>
    <n v="0.52243767313019396"/>
  </r>
  <r>
    <x v="16"/>
    <n v="0.71662478105247129"/>
    <n v="230423"/>
    <s v="WEST FLORIDA HIGH SCHOOL/TECHNICAL"/>
    <m/>
    <m/>
    <n v="504"/>
    <n v="1300"/>
    <m/>
    <m/>
    <n v="504"/>
    <n v="0.38769230769230767"/>
  </r>
  <r>
    <x v="16"/>
    <n v="0.71662478105247129"/>
    <n v="35524"/>
    <s v="WEST PENSACOLA ELEMENTARY SCHOOL"/>
    <m/>
    <m/>
    <m/>
    <n v="460"/>
    <n v="2015"/>
    <n v="83.06"/>
    <n v="460"/>
    <n v="1"/>
  </r>
  <r>
    <x v="16"/>
    <n v="0.71662478105247129"/>
    <n v="35504"/>
    <s v="WOODHAM MIDDLE SCHOOL"/>
    <m/>
    <m/>
    <m/>
    <n v="827"/>
    <n v="2015"/>
    <n v="71.180000000000007"/>
    <n v="827"/>
    <n v="1"/>
  </r>
  <r>
    <x v="17"/>
    <n v="0.60633408540152089"/>
    <n v="16038693"/>
    <s v="BELLE TERRE ELEMENTARY SCHOOL"/>
    <m/>
    <m/>
    <n v="791"/>
    <n v="1428"/>
    <m/>
    <m/>
    <n v="791"/>
    <n v="0.55392156862745101"/>
  </r>
  <r>
    <x v="17"/>
    <n v="0.60633408540152089"/>
    <n v="34889"/>
    <s v="BUDDY TAYLOR MIDDLE SCHOOL"/>
    <m/>
    <m/>
    <n v="719"/>
    <n v="1021"/>
    <m/>
    <m/>
    <n v="719"/>
    <n v="0.70421155729676788"/>
  </r>
  <r>
    <x v="17"/>
    <n v="0.60633408540152089"/>
    <n v="34890"/>
    <s v="BUNNELL ELEMENTARY SCHOOL"/>
    <m/>
    <m/>
    <n v="955"/>
    <n v="1271"/>
    <m/>
    <m/>
    <n v="955"/>
    <n v="0.75137686860739572"/>
  </r>
  <r>
    <x v="17"/>
    <n v="0.60633408540152089"/>
    <m/>
    <s v="FLAGLER VIRTUAL INSTRUCTION PROGRAM"/>
    <m/>
    <m/>
    <n v="4"/>
    <n v="13"/>
    <m/>
    <m/>
    <n v="4"/>
    <n v="0.30769230769230771"/>
  </r>
  <r>
    <x v="17"/>
    <n v="0.60633408540152089"/>
    <n v="34887"/>
    <s v="FLAGLER-PALM COAST HIGH SCHOOL"/>
    <m/>
    <m/>
    <n v="1460"/>
    <n v="2488"/>
    <m/>
    <m/>
    <n v="1460"/>
    <n v="0.58681672025723475"/>
  </r>
  <r>
    <x v="17"/>
    <n v="0.60633408540152089"/>
    <m/>
    <s v="IFLAGLER-VIRTUAL FRANCHISE"/>
    <m/>
    <m/>
    <n v="11"/>
    <n v="27"/>
    <m/>
    <m/>
    <n v="11"/>
    <n v="0.40740740740740738"/>
  </r>
  <r>
    <x v="17"/>
    <n v="0.60633408540152089"/>
    <n v="34945"/>
    <s v="INDIAN TRAILS MIDDLE SCHOOL"/>
    <m/>
    <m/>
    <n v="513"/>
    <n v="931"/>
    <m/>
    <m/>
    <n v="513"/>
    <n v="0.55102040816326525"/>
  </r>
  <r>
    <x v="17"/>
    <n v="0.60633408540152089"/>
    <n v="34946"/>
    <s v="LEWIS E. WADSWORTH ELEMENTARY"/>
    <m/>
    <m/>
    <n v="644"/>
    <n v="924"/>
    <m/>
    <m/>
    <n v="644"/>
    <n v="0.69696969696969702"/>
  </r>
  <r>
    <x v="17"/>
    <n v="0.60633408540152089"/>
    <n v="16024480"/>
    <s v="MATANZAS HIGH SCHOOL"/>
    <m/>
    <m/>
    <n v="789"/>
    <n v="1628"/>
    <m/>
    <m/>
    <n v="789"/>
    <n v="0.48464373464373467"/>
  </r>
  <r>
    <x v="17"/>
    <n v="0.60633408540152089"/>
    <n v="34891"/>
    <s v="OLD KINGS ELEMENTARY SCHOOL"/>
    <m/>
    <m/>
    <n v="556"/>
    <n v="1096"/>
    <m/>
    <m/>
    <n v="556"/>
    <n v="0.50729927007299269"/>
  </r>
  <r>
    <x v="17"/>
    <n v="0.60633408540152089"/>
    <n v="16043052"/>
    <s v="RYMFIRE ELEMENTARY SCHOOL"/>
    <m/>
    <m/>
    <n v="814"/>
    <n v="1140"/>
    <m/>
    <m/>
    <n v="814"/>
    <n v="0.71403508771929824"/>
  </r>
  <r>
    <x v="18"/>
    <n v="1"/>
    <n v="16074665"/>
    <s v="FRANKLIN COUNTY LEARNING CENTER (ADULT DIVISON)"/>
    <m/>
    <m/>
    <m/>
    <n v="0"/>
    <m/>
    <m/>
    <n v="0"/>
    <n v="0"/>
  </r>
  <r>
    <x v="18"/>
    <n v="1"/>
    <n v="16034557"/>
    <s v="FRANKLIN COUNTY SCHOOLS PK-12"/>
    <m/>
    <m/>
    <m/>
    <n v="943"/>
    <n v="2014"/>
    <n v="0.68290000000000006"/>
    <n v="943"/>
    <n v="1"/>
  </r>
  <r>
    <x v="19"/>
    <n v="1"/>
    <n v="212301"/>
    <s v="BOLD STEP INFANT CARE"/>
    <m/>
    <m/>
    <m/>
    <n v="13"/>
    <n v="2014"/>
    <n v="0.67260000000000009"/>
    <n v="13"/>
    <n v="1"/>
  </r>
  <r>
    <x v="19"/>
    <n v="1"/>
    <n v="35361"/>
    <s v="CARTER PARRAMORE ACADEMY"/>
    <m/>
    <m/>
    <m/>
    <n v="224"/>
    <n v="2014"/>
    <n v="0.67260000000000009"/>
    <n v="224"/>
    <n v="1"/>
  </r>
  <r>
    <x v="19"/>
    <n v="1"/>
    <n v="35316"/>
    <s v="CHATTAHOOCHEE ELEMENTARY SCHOOL"/>
    <m/>
    <m/>
    <m/>
    <n v="188"/>
    <n v="2014"/>
    <n v="0.67260000000000009"/>
    <n v="188"/>
    <n v="1"/>
  </r>
  <r>
    <x v="19"/>
    <n v="1"/>
    <n v="227385"/>
    <s v="EAST GADSDEN HIGH SCHOOL"/>
    <m/>
    <m/>
    <m/>
    <n v="835"/>
    <n v="2014"/>
    <n v="0.67260000000000009"/>
    <n v="835"/>
    <n v="1"/>
  </r>
  <r>
    <x v="19"/>
    <n v="1"/>
    <n v="35358"/>
    <s v="GADSDEN ADULT &amp; COMMUNITY EDUCATION CENTER"/>
    <m/>
    <m/>
    <m/>
    <n v="0"/>
    <m/>
    <m/>
    <n v="0"/>
    <n v="0"/>
  </r>
  <r>
    <x v="19"/>
    <n v="1"/>
    <n v="161851"/>
    <s v="GADSDEN CENTRAL ACADEMY"/>
    <m/>
    <m/>
    <m/>
    <n v="20"/>
    <n v="2014"/>
    <n v="0.67260000000000009"/>
    <n v="20"/>
    <n v="1"/>
  </r>
  <r>
    <x v="19"/>
    <n v="1"/>
    <n v="225508"/>
    <s v="GADSDEN ELEMENTARY MAGNET SCHOOL"/>
    <m/>
    <m/>
    <m/>
    <n v="149"/>
    <n v="2014"/>
    <n v="0.67260000000000009"/>
    <n v="149"/>
    <n v="1"/>
  </r>
  <r>
    <x v="19"/>
    <n v="1"/>
    <n v="35362"/>
    <s v="GADSDEN TECHNICAL INSTITUTE"/>
    <m/>
    <m/>
    <m/>
    <s v="*"/>
    <m/>
    <m/>
    <n v="0"/>
    <n v="0"/>
  </r>
  <r>
    <x v="19"/>
    <n v="1"/>
    <n v="35360"/>
    <s v="GEORGE W. MUNROE ELEMENTARY SCHOOL"/>
    <m/>
    <m/>
    <m/>
    <n v="555"/>
    <n v="2014"/>
    <n v="0.67260000000000009"/>
    <n v="555"/>
    <n v="1"/>
  </r>
  <r>
    <x v="19"/>
    <n v="1"/>
    <n v="35366"/>
    <s v="GREENSBORO ELEMENTARY SCHOOL"/>
    <m/>
    <m/>
    <m/>
    <n v="347"/>
    <n v="2014"/>
    <n v="0.67260000000000009"/>
    <n v="347"/>
    <n v="1"/>
  </r>
  <r>
    <x v="19"/>
    <n v="1"/>
    <n v="35367"/>
    <s v="GRETNA ELEMENTARY SCHOOL"/>
    <m/>
    <m/>
    <m/>
    <n v="282"/>
    <n v="2014"/>
    <n v="0.67260000000000009"/>
    <n v="282"/>
    <n v="1"/>
  </r>
  <r>
    <x v="19"/>
    <n v="1"/>
    <n v="35331"/>
    <s v="HAVANA MAGNET SCHOOL"/>
    <m/>
    <m/>
    <m/>
    <n v="0"/>
    <m/>
    <m/>
    <n v="0"/>
    <n v="0"/>
  </r>
  <r>
    <x v="19"/>
    <n v="1"/>
    <n v="169693"/>
    <s v="HOPE ACADEMY"/>
    <m/>
    <m/>
    <m/>
    <n v="20"/>
    <n v="2014"/>
    <n v="0.67260000000000009"/>
    <n v="20"/>
    <n v="1"/>
  </r>
  <r>
    <x v="19"/>
    <n v="1"/>
    <n v="35357"/>
    <s v="JAMES A. SHANKS MIDDLE SCHOOL"/>
    <m/>
    <m/>
    <m/>
    <n v="477"/>
    <n v="2014"/>
    <n v="0.67260000000000009"/>
    <n v="477"/>
    <n v="1"/>
  </r>
  <r>
    <x v="19"/>
    <n v="1"/>
    <n v="35365"/>
    <s v="ST. JOHNS ELEMENTARY SCHOOL"/>
    <m/>
    <m/>
    <m/>
    <n v="225"/>
    <n v="2014"/>
    <n v="0.67260000000000009"/>
    <n v="225"/>
    <n v="1"/>
  </r>
  <r>
    <x v="19"/>
    <n v="1"/>
    <n v="35363"/>
    <s v="STEWART STREET ELEMENTARY SCHOOL"/>
    <m/>
    <m/>
    <m/>
    <n v="694"/>
    <n v="2014"/>
    <n v="0.67260000000000009"/>
    <n v="694"/>
    <n v="1"/>
  </r>
  <r>
    <x v="19"/>
    <n v="1"/>
    <n v="16034655"/>
    <s v="WEST GADSDEN HIGH SCHOOL"/>
    <m/>
    <m/>
    <m/>
    <n v="479"/>
    <n v="2014"/>
    <n v="0.67260000000000009"/>
    <n v="479"/>
    <n v="1"/>
  </r>
  <r>
    <x v="20"/>
    <n v="1"/>
    <n v="35719"/>
    <s v="BELL ELEMENTARY SCHOOL"/>
    <m/>
    <m/>
    <m/>
    <n v="567"/>
    <n v="2015"/>
    <n v="1"/>
    <n v="567"/>
    <n v="1"/>
  </r>
  <r>
    <x v="20"/>
    <n v="1"/>
    <n v="35718"/>
    <s v="BELL HIGH SCHOOL"/>
    <m/>
    <m/>
    <m/>
    <n v="680"/>
    <n v="2015"/>
    <n v="0.71040000000000003"/>
    <n v="680"/>
    <n v="1"/>
  </r>
  <r>
    <x v="20"/>
    <n v="1"/>
    <n v="35772"/>
    <s v="TRENTON ELEMENTARY SCHOOL"/>
    <m/>
    <m/>
    <m/>
    <n v="830"/>
    <n v="2015"/>
    <n v="0.96579999999999999"/>
    <n v="830"/>
    <n v="1"/>
  </r>
  <r>
    <x v="20"/>
    <n v="1"/>
    <n v="35773"/>
    <s v="TRENTON HIGH SCHOOL"/>
    <m/>
    <m/>
    <m/>
    <n v="680"/>
    <n v="2015"/>
    <n v="0.71040000000000003"/>
    <n v="680"/>
    <n v="1"/>
  </r>
  <r>
    <x v="21"/>
    <n v="0.82464000000000004"/>
    <n v="37491"/>
    <s v="MOORE HAVEN ELEMENTARY SCHOOL"/>
    <m/>
    <m/>
    <m/>
    <n v="402"/>
    <n v="2015"/>
    <n v="0.51539999999999997"/>
    <n v="331.50528000000003"/>
    <n v="0.82464000000000004"/>
  </r>
  <r>
    <x v="21"/>
    <n v="0.82464000000000004"/>
    <n v="37490"/>
    <s v="MOORE HAVEN JUNIOR/SENIOR HIGH SCHOOL"/>
    <m/>
    <m/>
    <m/>
    <n v="435"/>
    <n v="2015"/>
    <n v="0.51539999999999997"/>
    <n v="358.71840000000003"/>
    <n v="0.82464000000000004"/>
  </r>
  <r>
    <x v="21"/>
    <n v="0.82464000000000004"/>
    <n v="16022384"/>
    <s v="WEST GLADES SCHOOL"/>
    <m/>
    <m/>
    <m/>
    <n v="532"/>
    <n v="2015"/>
    <n v="0.51539999999999997"/>
    <n v="438.70848000000001"/>
    <n v="0.82464000000000004"/>
  </r>
  <r>
    <x v="22"/>
    <n v="0.60865087538619977"/>
    <n v="35464"/>
    <s v="GULF COUNTY ADULT SCHOOL"/>
    <m/>
    <m/>
    <m/>
    <n v="0"/>
    <m/>
    <m/>
    <n v="0"/>
    <n v="0"/>
  </r>
  <r>
    <x v="22"/>
    <n v="0.60865087538619977"/>
    <n v="35465"/>
    <s v="PORT ST. JOE ELEMENTARY SCHOOL"/>
    <m/>
    <m/>
    <n v="361"/>
    <n v="568"/>
    <m/>
    <m/>
    <n v="361"/>
    <n v="0.63556338028169013"/>
  </r>
  <r>
    <x v="22"/>
    <n v="0.60865087538619977"/>
    <n v="35463"/>
    <s v="PORT ST. JOE HIGH SCHOOL"/>
    <m/>
    <m/>
    <n v="266"/>
    <n v="540"/>
    <m/>
    <m/>
    <n v="266"/>
    <n v="0.49259259259259258"/>
  </r>
  <r>
    <x v="22"/>
    <n v="0.60865087538619977"/>
    <n v="35478"/>
    <s v="WEWAHITCHKA ELEMENTARY SCHOOL"/>
    <m/>
    <m/>
    <n v="326"/>
    <n v="469"/>
    <m/>
    <m/>
    <n v="326"/>
    <n v="0.69509594882729209"/>
  </r>
  <r>
    <x v="22"/>
    <n v="0.60865087538619977"/>
    <n v="35479"/>
    <s v="WEWAHITCHKA HIGH SCHOOL"/>
    <m/>
    <m/>
    <n v="229"/>
    <n v="365"/>
    <m/>
    <m/>
    <n v="229"/>
    <n v="0.62739726027397258"/>
  </r>
  <r>
    <x v="23"/>
    <n v="1"/>
    <n v="34780"/>
    <s v="CENTRAL HAMILTON ELEMENTARY SCHOOL"/>
    <m/>
    <m/>
    <m/>
    <n v="405"/>
    <n v="2014"/>
    <n v="0.84799999999999998"/>
    <n v="405"/>
    <n v="1"/>
  </r>
  <r>
    <x v="23"/>
    <n v="1"/>
    <n v="34779"/>
    <s v="GREENWOOD SCHOOL"/>
    <m/>
    <m/>
    <m/>
    <n v="11"/>
    <n v="2014"/>
    <n v="0.84799999999999998"/>
    <n v="11"/>
    <n v="1"/>
  </r>
  <r>
    <x v="23"/>
    <n v="1"/>
    <n v="34781"/>
    <s v="HAMILTON COUNTY HIGH SCHOOL"/>
    <m/>
    <m/>
    <m/>
    <n v="679"/>
    <n v="2014"/>
    <n v="0.84799999999999998"/>
    <n v="679"/>
    <n v="1"/>
  </r>
  <r>
    <x v="23"/>
    <n v="1"/>
    <n v="16059720"/>
    <s v="HAMILTON VTAE SCHOOL"/>
    <m/>
    <m/>
    <m/>
    <n v="0"/>
    <m/>
    <m/>
    <n v="0"/>
    <n v="0"/>
  </r>
  <r>
    <x v="23"/>
    <n v="1"/>
    <n v="34782"/>
    <s v="NORTH HAMILTON ELEMENTARY SCHOOL"/>
    <m/>
    <m/>
    <m/>
    <n v="494"/>
    <n v="2014"/>
    <n v="0.84799999999999998"/>
    <n v="494"/>
    <n v="1"/>
  </r>
  <r>
    <x v="23"/>
    <n v="1"/>
    <n v="34884"/>
    <s v="SOUTH HAMILTON ELEMENTARY SCHOOL"/>
    <m/>
    <m/>
    <m/>
    <n v="145"/>
    <n v="2014"/>
    <n v="0.84799999999999998"/>
    <n v="145"/>
    <n v="1"/>
  </r>
  <r>
    <x v="24"/>
    <n v="1"/>
    <n v="38169"/>
    <s v="ADULT/COMMUNITY EDUCATION"/>
    <m/>
    <m/>
    <m/>
    <n v="0"/>
    <m/>
    <m/>
    <n v="0"/>
    <n v="0"/>
  </r>
  <r>
    <x v="24"/>
    <n v="1"/>
    <n v="38112"/>
    <s v="BOWLING GREEN ELEMENTARY SCHOOL"/>
    <m/>
    <m/>
    <m/>
    <n v="413"/>
    <n v="2014"/>
    <n v="0.69499999999999995"/>
    <n v="413"/>
    <n v="1"/>
  </r>
  <r>
    <x v="24"/>
    <n v="1"/>
    <n v="16033727"/>
    <s v="HARDEE JUNIOR HIGH SCHOOL"/>
    <m/>
    <m/>
    <m/>
    <n v="1185"/>
    <n v="2014"/>
    <n v="0.69499999999999995"/>
    <n v="1185"/>
    <n v="1"/>
  </r>
  <r>
    <x v="24"/>
    <n v="1"/>
    <n v="38174"/>
    <s v="HARDEE SENIOR HIGH SCHOOL"/>
    <m/>
    <m/>
    <m/>
    <n v="1398"/>
    <n v="2014"/>
    <n v="0.69499999999999995"/>
    <n v="1398"/>
    <n v="1"/>
  </r>
  <r>
    <x v="24"/>
    <n v="1"/>
    <n v="16036612"/>
    <s v="HILLTOP ELEMENTARY SCHOOL"/>
    <m/>
    <m/>
    <m/>
    <n v="394"/>
    <n v="2014"/>
    <n v="0.69499999999999995"/>
    <n v="394"/>
    <n v="1"/>
  </r>
  <r>
    <x v="24"/>
    <n v="1"/>
    <n v="38173"/>
    <s v="NORTH WAUCHULA ELEMENTARY SCHOOL"/>
    <m/>
    <m/>
    <m/>
    <n v="537"/>
    <n v="2014"/>
    <n v="0.69499999999999995"/>
    <n v="537"/>
    <n v="1"/>
  </r>
  <r>
    <x v="24"/>
    <n v="1"/>
    <n v="38197"/>
    <s v="PIONEER CAREER ACADEMY"/>
    <m/>
    <m/>
    <m/>
    <n v="13"/>
    <n v="2014"/>
    <n v="0.69499999999999995"/>
    <n v="13"/>
    <n v="1"/>
  </r>
  <r>
    <x v="24"/>
    <n v="1"/>
    <n v="38172"/>
    <s v="WAUCHULA ELEMENTARY SCHOOL"/>
    <m/>
    <m/>
    <m/>
    <n v="721"/>
    <n v="2014"/>
    <n v="0.69499999999999995"/>
    <n v="721"/>
    <n v="1"/>
  </r>
  <r>
    <x v="24"/>
    <n v="1"/>
    <n v="38198"/>
    <s v="ZOLFO SPRINGS ELEMENTARY SCHOOL"/>
    <m/>
    <m/>
    <m/>
    <n v="561"/>
    <n v="2014"/>
    <n v="0.69499999999999995"/>
    <n v="561"/>
    <n v="1"/>
  </r>
  <r>
    <x v="25"/>
    <n v="0.85454716008316001"/>
    <n v="37412"/>
    <s v="CENTRAL ELEMENTARY SCHOOL"/>
    <m/>
    <m/>
    <m/>
    <n v="625"/>
    <n v="2015"/>
    <n v="0.58279999999999998"/>
    <n v="582.79999999999995"/>
    <n v="0.93247999999999998"/>
  </r>
  <r>
    <x v="25"/>
    <n v="0.85454716008316001"/>
    <n v="37408"/>
    <s v="CLEWISTON ADULT SCHOOL"/>
    <m/>
    <m/>
    <m/>
    <n v="0"/>
    <m/>
    <m/>
    <n v="0"/>
    <n v="0"/>
  </r>
  <r>
    <x v="25"/>
    <n v="0.85454716008316001"/>
    <n v="37409"/>
    <s v="CLEWISTON HIGH SCHOOL"/>
    <m/>
    <m/>
    <m/>
    <n v="935"/>
    <n v="2015"/>
    <n v="0.58279999999999998"/>
    <n v="871.86879999999996"/>
    <n v="0.93247999999999998"/>
  </r>
  <r>
    <x v="25"/>
    <n v="0.85454716008316001"/>
    <n v="37407"/>
    <s v="CLEWISTON MIDDLE SCHOOL"/>
    <m/>
    <m/>
    <m/>
    <n v="706"/>
    <n v="2015"/>
    <n v="0.58279999999999998"/>
    <n v="658.33087999999998"/>
    <n v="0.93247999999999998"/>
  </r>
  <r>
    <x v="25"/>
    <n v="0.85454716008316001"/>
    <n v="37413"/>
    <s v="CLEWISTON YOUTH DEVELOPMENTAL ACADEMY"/>
    <m/>
    <m/>
    <m/>
    <n v="13"/>
    <n v="2015"/>
    <n v="0.58279999999999998"/>
    <n v="12.12224"/>
    <n v="0.93247999999999998"/>
  </r>
  <r>
    <x v="25"/>
    <n v="0.85454716008316001"/>
    <n v="38287"/>
    <s v="COUNTRY OAKS ELEMENTARY SCHOOL"/>
    <m/>
    <m/>
    <m/>
    <n v="783"/>
    <n v="2015"/>
    <n v="0.58279999999999998"/>
    <n v="730.13184000000001"/>
    <n v="0.93247999999999998"/>
  </r>
  <r>
    <x v="25"/>
    <n v="0.85454716008316001"/>
    <n v="171787"/>
    <s v="COUNTY WIDE EXCEPTIONAL STUDENT EDUCATION"/>
    <m/>
    <m/>
    <m/>
    <n v="25"/>
    <m/>
    <m/>
    <n v="0"/>
    <n v="0"/>
  </r>
  <r>
    <x v="25"/>
    <n v="0.85454716008316001"/>
    <n v="37410"/>
    <s v="EASTSIDE ELEMENTARY SCHOOL"/>
    <m/>
    <m/>
    <m/>
    <n v="578"/>
    <m/>
    <m/>
    <n v="0"/>
    <n v="0"/>
  </r>
  <r>
    <x v="25"/>
    <n v="0.85454716008316001"/>
    <n v="234407"/>
    <s v="EDWARD A. UPTHEGROVE ELEMENTARY"/>
    <m/>
    <m/>
    <m/>
    <n v="492"/>
    <n v="2015"/>
    <n v="0.58279999999999998"/>
    <n v="458.78015999999997"/>
    <n v="0.93247999999999998"/>
  </r>
  <r>
    <x v="25"/>
    <n v="0.85454716008316001"/>
    <n v="38321"/>
    <s v="LABELLE ADULT SCHOOL"/>
    <m/>
    <m/>
    <m/>
    <n v="0"/>
    <m/>
    <m/>
    <n v="0"/>
    <n v="0"/>
  </r>
  <r>
    <x v="25"/>
    <n v="0.85454716008316001"/>
    <n v="38286"/>
    <s v="LABELLE ELEMENTARY SCHOOL"/>
    <m/>
    <m/>
    <m/>
    <n v="548"/>
    <n v="2015"/>
    <n v="0.58279999999999998"/>
    <n v="510.99903999999998"/>
    <n v="0.93247999999999998"/>
  </r>
  <r>
    <x v="25"/>
    <n v="0.85454716008316001"/>
    <n v="38288"/>
    <s v="LABELLE HIGH SCHOOL"/>
    <m/>
    <m/>
    <m/>
    <n v="1115"/>
    <n v="2015"/>
    <n v="0.58279999999999998"/>
    <n v="1039.7151999999999"/>
    <n v="0.93247999999999986"/>
  </r>
  <r>
    <x v="25"/>
    <n v="0.85454716008316001"/>
    <n v="38320"/>
    <s v="LABELLE MIDDLE SCHOOL"/>
    <m/>
    <m/>
    <m/>
    <n v="775"/>
    <n v="2015"/>
    <n v="0.58279999999999998"/>
    <n v="722.67200000000003"/>
    <n v="0.93248000000000009"/>
  </r>
  <r>
    <x v="25"/>
    <n v="0.85454716008316001"/>
    <n v="38285"/>
    <s v="LABELLE YOUTH DEVELOPMENTAL ACADEMY"/>
    <m/>
    <m/>
    <m/>
    <n v="18"/>
    <n v="2015"/>
    <n v="0.58279999999999998"/>
    <n v="16.78464"/>
    <n v="0.93247999999999998"/>
  </r>
  <r>
    <x v="25"/>
    <n v="0.85454716008316001"/>
    <n v="37411"/>
    <s v="WESTSIDE ELEMENTARY SCHOOL"/>
    <m/>
    <m/>
    <m/>
    <n v="602"/>
    <n v="2015"/>
    <n v="0.58279999999999998"/>
    <n v="561.35295999999994"/>
    <n v="0.93247999999999986"/>
  </r>
  <r>
    <x v="26"/>
    <n v="0.68063164679342569"/>
    <n v="38608"/>
    <s v="BROOKSVILLE ELEMENTARY SCHOOL"/>
    <m/>
    <m/>
    <n v="548"/>
    <n v="714"/>
    <m/>
    <m/>
    <n v="548"/>
    <n v="0.7675070028011205"/>
  </r>
  <r>
    <x v="26"/>
    <n v="0.68063164679342569"/>
    <n v="38633"/>
    <s v="CENTRAL HIGH SCHOOL"/>
    <m/>
    <m/>
    <n v="733"/>
    <n v="1151"/>
    <m/>
    <m/>
    <n v="733"/>
    <n v="0.63683753258036491"/>
  </r>
  <r>
    <x v="26"/>
    <n v="0.68063164679342569"/>
    <n v="16082984"/>
    <s v="CENTRAL HIGH SCHOOL-ADULT EDUCATION"/>
    <m/>
    <m/>
    <m/>
    <n v="0"/>
    <m/>
    <m/>
    <n v="0"/>
    <n v="0"/>
  </r>
  <r>
    <x v="26"/>
    <n v="0.68063164679342569"/>
    <n v="16020760"/>
    <s v="CHALLENGER K-8 SCHOOL OF SCIENCE AND MATH"/>
    <m/>
    <m/>
    <n v="625"/>
    <n v="1558"/>
    <m/>
    <m/>
    <n v="625"/>
    <n v="0.40115532734274711"/>
  </r>
  <r>
    <x v="26"/>
    <n v="0.68063164679342569"/>
    <n v="209878"/>
    <s v="CHOCACHATTI ELEMENTARY SCHOOL"/>
    <m/>
    <m/>
    <n v="351"/>
    <n v="742"/>
    <m/>
    <m/>
    <n v="351"/>
    <n v="0.47304582210242585"/>
  </r>
  <r>
    <x v="26"/>
    <n v="0.68063164679342569"/>
    <n v="38615"/>
    <s v="D. S. PARROTT MIDDLE SCHOOL"/>
    <m/>
    <m/>
    <n v="546"/>
    <n v="695"/>
    <m/>
    <m/>
    <n v="546"/>
    <n v="0.78561151079136693"/>
  </r>
  <r>
    <x v="26"/>
    <n v="0.68063164679342569"/>
    <n v="38620"/>
    <s v="DELTONA ELEMENTARY SCHOOL"/>
    <m/>
    <m/>
    <n v="834"/>
    <n v="967"/>
    <m/>
    <m/>
    <n v="834"/>
    <n v="0.86246122026887284"/>
  </r>
  <r>
    <x v="26"/>
    <n v="0.68063164679342569"/>
    <n v="38617"/>
    <s v="EASTSIDE ELEMENTARY SCHOOL"/>
    <m/>
    <m/>
    <n v="513"/>
    <n v="596"/>
    <m/>
    <m/>
    <n v="513"/>
    <n v="0.86073825503355705"/>
  </r>
  <r>
    <x v="26"/>
    <n v="0.68063164679342569"/>
    <n v="164579"/>
    <s v="ENDEAVOR ACADEMY"/>
    <m/>
    <m/>
    <n v="125"/>
    <n v="133"/>
    <m/>
    <m/>
    <n v="125"/>
    <n v="0.93984962406015038"/>
  </r>
  <r>
    <x v="26"/>
    <n v="0.68063164679342569"/>
    <n v="16034034"/>
    <s v="EXPLORER K-8"/>
    <m/>
    <m/>
    <n v="1392"/>
    <n v="1703"/>
    <m/>
    <m/>
    <n v="1392"/>
    <n v="0.81738109219025246"/>
  </r>
  <r>
    <x v="26"/>
    <n v="0.68063164679342569"/>
    <n v="38619"/>
    <s v="FOX CHAPEL MIDDLE SCHOOL"/>
    <m/>
    <m/>
    <n v="488"/>
    <n v="556"/>
    <m/>
    <m/>
    <n v="488"/>
    <n v="0.87769784172661869"/>
  </r>
  <r>
    <x v="26"/>
    <n v="0.68063164679342569"/>
    <n v="38627"/>
    <s v="FRANK W. SPRINGSTEAD HIGH SCHOOL"/>
    <m/>
    <m/>
    <n v="912"/>
    <n v="1637"/>
    <m/>
    <m/>
    <n v="912"/>
    <n v="0.55711667684789246"/>
  </r>
  <r>
    <x v="26"/>
    <n v="0.68063164679342569"/>
    <n v="16082919"/>
    <s v="FRANK W. SPRINGSTEAD HIGH/ADUL"/>
    <m/>
    <m/>
    <m/>
    <n v="0"/>
    <m/>
    <m/>
    <n v="0"/>
    <n v="0"/>
  </r>
  <r>
    <x v="26"/>
    <n v="0.68063164679342569"/>
    <n v="16082986"/>
    <s v="HERNANDO COUNTY ADULT EDUCATION"/>
    <m/>
    <m/>
    <m/>
    <n v="0"/>
    <m/>
    <m/>
    <n v="0"/>
    <n v="0"/>
  </r>
  <r>
    <x v="26"/>
    <n v="0.68063164679342569"/>
    <n v="16033679"/>
    <s v="HERNANDO DISTRICT OFFICE"/>
    <m/>
    <m/>
    <m/>
    <n v="0"/>
    <m/>
    <m/>
    <n v="0"/>
    <n v="0"/>
  </r>
  <r>
    <x v="26"/>
    <n v="0.68063164679342569"/>
    <n v="16082915"/>
    <s v="HERNANDO ESCHOOL VIRTUAL FRANCHISE"/>
    <m/>
    <m/>
    <m/>
    <s v="*"/>
    <m/>
    <m/>
    <n v="0"/>
    <n v="0"/>
  </r>
  <r>
    <x v="26"/>
    <n v="0.68063164679342569"/>
    <n v="38609"/>
    <s v="HERNANDO HIGH SCHOOL"/>
    <m/>
    <m/>
    <n v="714"/>
    <n v="1166"/>
    <m/>
    <m/>
    <n v="714"/>
    <n v="0.6123499142367067"/>
  </r>
  <r>
    <x v="26"/>
    <n v="0.68063164679342569"/>
    <n v="16082918"/>
    <s v="HERNANDO HIGH SCHOOL/ADULT EDUCATION"/>
    <m/>
    <m/>
    <m/>
    <n v="0"/>
    <m/>
    <m/>
    <n v="0"/>
    <n v="0"/>
  </r>
  <r>
    <x v="26"/>
    <n v="0.68063164679342569"/>
    <n v="16082917"/>
    <s v="HERNANDO VIRTUAL INSTRUCTION"/>
    <m/>
    <m/>
    <m/>
    <n v="17"/>
    <m/>
    <m/>
    <n v="0"/>
    <n v="0"/>
  </r>
  <r>
    <x v="26"/>
    <n v="0.68063164679342569"/>
    <n v="16082916"/>
    <s v="HERNANDO VIRTUAL INSTRUCTION (COURSE OFFERINGS)"/>
    <m/>
    <m/>
    <m/>
    <n v="0"/>
    <m/>
    <m/>
    <n v="0"/>
    <n v="0"/>
  </r>
  <r>
    <x v="26"/>
    <n v="0.68063164679342569"/>
    <n v="16082914"/>
    <s v="HERNANDO VIRTUAL INSTRUCTION PROGRAM"/>
    <m/>
    <m/>
    <m/>
    <n v="0"/>
    <m/>
    <m/>
    <n v="0"/>
    <n v="0"/>
  </r>
  <r>
    <x v="26"/>
    <n v="0.68063164679342569"/>
    <n v="38628"/>
    <s v="JOHN D. FLOYD K-8 SCHOOL OF ENVIRONMENTAL SCIENCE"/>
    <m/>
    <m/>
    <n v="679"/>
    <n v="996"/>
    <m/>
    <m/>
    <n v="679"/>
    <n v="0.68172690763052213"/>
  </r>
  <r>
    <x v="26"/>
    <n v="0.68063164679342569"/>
    <n v="38614"/>
    <s v="MOTON ELEMENTARY SCHOOL"/>
    <m/>
    <m/>
    <n v="493"/>
    <n v="603"/>
    <m/>
    <m/>
    <n v="493"/>
    <n v="0.81757877280265345"/>
  </r>
  <r>
    <x v="26"/>
    <n v="0.68063164679342569"/>
    <n v="232238"/>
    <s v="NATURE COAST TECHNICAL HIGH"/>
    <m/>
    <m/>
    <n v="673"/>
    <n v="1268"/>
    <m/>
    <m/>
    <n v="673"/>
    <n v="0.53075709779179814"/>
  </r>
  <r>
    <x v="26"/>
    <n v="0.68063164679342569"/>
    <n v="16082985"/>
    <s v="NATURE COAST TECHNICAL HIGH- ADULT"/>
    <m/>
    <m/>
    <m/>
    <n v="0"/>
    <m/>
    <m/>
    <n v="0"/>
    <n v="0"/>
  </r>
  <r>
    <x v="26"/>
    <n v="0.68063164679342569"/>
    <n v="38634"/>
    <s v="PINE GROVE ELEMENTARY SCHOOL"/>
    <m/>
    <m/>
    <n v="509"/>
    <n v="624"/>
    <m/>
    <m/>
    <n v="509"/>
    <n v="0.81570512820512819"/>
  </r>
  <r>
    <x v="26"/>
    <n v="0.68063164679342569"/>
    <n v="38626"/>
    <s v="POWELL MIDDLE SCHOOL"/>
    <m/>
    <m/>
    <n v="549"/>
    <n v="836"/>
    <m/>
    <m/>
    <n v="549"/>
    <n v="0.65669856459330145"/>
  </r>
  <r>
    <x v="26"/>
    <n v="0.68063164679342569"/>
    <n v="38625"/>
    <s v="SPRING HILL ELEMENTARY SCHOOL"/>
    <m/>
    <m/>
    <n v="588"/>
    <n v="749"/>
    <m/>
    <m/>
    <n v="588"/>
    <n v="0.78504672897196259"/>
  </r>
  <r>
    <x v="26"/>
    <n v="0.68063164679342569"/>
    <n v="38629"/>
    <s v="SUNCOAST ELEMENTARY SCHOOL"/>
    <m/>
    <m/>
    <n v="633"/>
    <n v="946"/>
    <m/>
    <m/>
    <n v="633"/>
    <n v="0.66913319238900637"/>
  </r>
  <r>
    <x v="26"/>
    <n v="0.68063164679342569"/>
    <n v="16049524"/>
    <s v="WEEKI WACHEE HIGH SCHOOL"/>
    <m/>
    <m/>
    <n v="999"/>
    <n v="1566"/>
    <m/>
    <m/>
    <n v="999"/>
    <n v="0.63793103448275867"/>
  </r>
  <r>
    <x v="26"/>
    <n v="0.68063164679342569"/>
    <n v="38632"/>
    <s v="WEST HERNANDO MIDDLE SCHOOL"/>
    <m/>
    <m/>
    <n v="461"/>
    <n v="592"/>
    <m/>
    <m/>
    <n v="461"/>
    <n v="0.77871621621621623"/>
  </r>
  <r>
    <x v="26"/>
    <n v="0.68063164679342569"/>
    <n v="38621"/>
    <s v="WESTSIDE ELEMENTARY SCHOOL"/>
    <m/>
    <m/>
    <n v="495"/>
    <n v="562"/>
    <m/>
    <m/>
    <n v="495"/>
    <n v="0.88078291814946619"/>
  </r>
  <r>
    <x v="26"/>
    <n v="0.68063164679342569"/>
    <n v="16064265"/>
    <s v="WINDING WATERS K-8"/>
    <m/>
    <m/>
    <n v="924"/>
    <n v="1344"/>
    <m/>
    <m/>
    <n v="924"/>
    <n v="0.6875"/>
  </r>
  <r>
    <x v="27"/>
    <n v="0.7605964826971392"/>
    <n v="38094"/>
    <s v="AVON ELEMENTARY SCHOOL"/>
    <m/>
    <m/>
    <n v="513"/>
    <n v="592"/>
    <m/>
    <m/>
    <n v="513"/>
    <n v="0.86655405405405406"/>
  </r>
  <r>
    <x v="27"/>
    <n v="0.7605964826971392"/>
    <n v="38096"/>
    <s v="AVON PARK HIGH SCHOOL"/>
    <m/>
    <m/>
    <n v="767"/>
    <n v="1020"/>
    <m/>
    <m/>
    <n v="767"/>
    <n v="0.75196078431372548"/>
  </r>
  <r>
    <x v="27"/>
    <n v="0.7605964826971392"/>
    <n v="38097"/>
    <s v="AVON PARK MIDDLE SCHOOL"/>
    <m/>
    <m/>
    <n v="639"/>
    <n v="728"/>
    <m/>
    <m/>
    <n v="639"/>
    <n v="0.87774725274725274"/>
  </r>
  <r>
    <x v="27"/>
    <n v="0.7605964826971392"/>
    <n v="38168"/>
    <s v="CRACKER TRAIL ELEMENTARY SCHOOL"/>
    <m/>
    <m/>
    <n v="399"/>
    <n v="675"/>
    <m/>
    <m/>
    <n v="399"/>
    <n v="0.59111111111111114"/>
  </r>
  <r>
    <x v="27"/>
    <n v="0.7605964826971392"/>
    <n v="38164"/>
    <s v="FRED WILD ELEMENTARY SCHOOL"/>
    <m/>
    <m/>
    <n v="559"/>
    <n v="612"/>
    <m/>
    <m/>
    <n v="559"/>
    <n v="0.91339869281045749"/>
  </r>
  <r>
    <x v="27"/>
    <n v="0.7605964826971392"/>
    <n v="16083366"/>
    <s v="HIGHLANDS VIRTUAL FRANCHISE"/>
    <m/>
    <m/>
    <m/>
    <n v="0"/>
    <m/>
    <m/>
    <n v="0"/>
    <n v="0"/>
  </r>
  <r>
    <x v="27"/>
    <n v="0.7605964826971392"/>
    <n v="16083365"/>
    <s v="HIGHLANDS VIRTUAL INSTRUCTION PROGRAM"/>
    <m/>
    <m/>
    <n v="9"/>
    <n v="24"/>
    <m/>
    <m/>
    <n v="9"/>
    <n v="0.375"/>
  </r>
  <r>
    <x v="27"/>
    <n v="0.7605964826971392"/>
    <n v="38167"/>
    <s v="HILL-GUSTAT MIDDLE SCHOOL"/>
    <m/>
    <m/>
    <n v="484"/>
    <n v="665"/>
    <m/>
    <m/>
    <n v="484"/>
    <n v="0.72781954887218048"/>
  </r>
  <r>
    <x v="27"/>
    <n v="0.7605964826971392"/>
    <n v="38140"/>
    <s v="LAKE COUNTRY ELEMENTARY SCHOOL"/>
    <m/>
    <m/>
    <n v="510"/>
    <n v="606"/>
    <m/>
    <m/>
    <n v="510"/>
    <n v="0.84158415841584155"/>
  </r>
  <r>
    <x v="27"/>
    <n v="0.7605964826971392"/>
    <n v="38142"/>
    <s v="LAKE PLACID ELEMENTARY SCHOOL"/>
    <m/>
    <m/>
    <n v="682"/>
    <n v="843"/>
    <m/>
    <m/>
    <n v="682"/>
    <n v="0.80901542111506519"/>
  </r>
  <r>
    <x v="27"/>
    <n v="0.7605964826971392"/>
    <n v="38143"/>
    <s v="LAKE PLACID HIGH SCHOOL"/>
    <m/>
    <m/>
    <n v="564"/>
    <n v="821"/>
    <m/>
    <m/>
    <n v="564"/>
    <n v="0.68696711327649207"/>
  </r>
  <r>
    <x v="27"/>
    <n v="0.7605964826971392"/>
    <n v="38144"/>
    <s v="LAKE PLACID MIDDLE SCHOOL"/>
    <m/>
    <m/>
    <n v="453"/>
    <n v="587"/>
    <m/>
    <m/>
    <n v="453"/>
    <n v="0.77172061328790464"/>
  </r>
  <r>
    <x v="27"/>
    <n v="0.7605964826971392"/>
    <n v="16049480"/>
    <s v="MEMORIAL ELEMENTARY SCHOOL"/>
    <m/>
    <m/>
    <n v="509"/>
    <n v="596"/>
    <m/>
    <m/>
    <n v="509"/>
    <n v="0.85402684563758391"/>
  </r>
  <r>
    <x v="27"/>
    <n v="0.7605964826971392"/>
    <n v="38093"/>
    <s v="PARK ELEMENTARY SCHOOL"/>
    <m/>
    <m/>
    <n v="435"/>
    <n v="520"/>
    <m/>
    <m/>
    <n v="435"/>
    <n v="0.83653846153846156"/>
  </r>
  <r>
    <x v="27"/>
    <n v="0.7605964826971392"/>
    <n v="38165"/>
    <s v="SEBRING HIGH SCHOOL"/>
    <m/>
    <m/>
    <n v="1027"/>
    <n v="1604"/>
    <m/>
    <m/>
    <n v="1027"/>
    <n v="0.64027431421446379"/>
  </r>
  <r>
    <x v="27"/>
    <n v="0.7605964826971392"/>
    <n v="38163"/>
    <s v="SEBRING MIDDLE SCHOOL"/>
    <m/>
    <m/>
    <n v="529"/>
    <n v="763"/>
    <m/>
    <m/>
    <n v="529"/>
    <n v="0.6933158584534731"/>
  </r>
  <r>
    <x v="27"/>
    <n v="0.7605964826971392"/>
    <n v="38166"/>
    <s v="SUN 'N LAKE ELEMENTARY SCHOOL"/>
    <m/>
    <m/>
    <n v="582"/>
    <n v="767"/>
    <m/>
    <m/>
    <n v="582"/>
    <n v="0.75880052151238597"/>
  </r>
  <r>
    <x v="27"/>
    <n v="0.7605964826971392"/>
    <n v="205818"/>
    <s v="THE ACADEMY AT YOUTH CARE LANE"/>
    <m/>
    <m/>
    <n v="10"/>
    <n v="10"/>
    <m/>
    <m/>
    <n v="10"/>
    <n v="1"/>
  </r>
  <r>
    <x v="27"/>
    <n v="0.7605964826971392"/>
    <n v="16039424"/>
    <s v="THE KINDERGARTEN LEARNING CENTER"/>
    <m/>
    <m/>
    <n v="265"/>
    <n v="339"/>
    <m/>
    <m/>
    <n v="265"/>
    <n v="0.78171091445427732"/>
  </r>
  <r>
    <x v="27"/>
    <n v="0.7605964826971392"/>
    <n v="38162"/>
    <s v="WOODLAWN ELEMENTARY SCHOOL"/>
    <m/>
    <m/>
    <n v="449"/>
    <n v="567"/>
    <m/>
    <m/>
    <n v="449"/>
    <n v="0.79188712522045857"/>
  </r>
  <r>
    <x v="28"/>
    <n v="1"/>
    <n v="37739"/>
    <s v="ADAMS MIDDLE SCHOOL"/>
    <m/>
    <m/>
    <n v="749"/>
    <n v="897"/>
    <m/>
    <m/>
    <n v="897"/>
    <e v="#REF!"/>
  </r>
  <r>
    <x v="28"/>
    <n v="1"/>
    <n v="37738"/>
    <s v="FOREST HILLS ELEMENTARY"/>
    <m/>
    <m/>
    <n v="984"/>
    <n v="1067"/>
    <m/>
    <m/>
    <n v="1067"/>
    <e v="#REF!"/>
  </r>
  <r>
    <x v="28"/>
    <n v="1"/>
    <n v="16037427"/>
    <s v="SPOTO HIGH SCHOOL"/>
    <m/>
    <m/>
    <n v="1202"/>
    <n v="1624"/>
    <m/>
    <m/>
    <n v="1624"/>
    <e v="#REF!"/>
  </r>
  <r>
    <x v="28"/>
    <n v="1"/>
    <n v="16022196"/>
    <s v="SHEEHY ELEMENTARY"/>
    <m/>
    <m/>
    <n v="431"/>
    <n v="459"/>
    <m/>
    <m/>
    <n v="459"/>
    <e v="#REF!"/>
  </r>
  <r>
    <x v="28"/>
    <n v="1"/>
    <n v="16031652"/>
    <s v="GIUNTA MIDDLE SCHOOL"/>
    <m/>
    <m/>
    <n v="753"/>
    <n v="878"/>
    <m/>
    <m/>
    <n v="878"/>
    <e v="#REF!"/>
  </r>
  <r>
    <x v="28"/>
    <n v="1"/>
    <n v="16022191"/>
    <s v="CORR ELEMENTARY"/>
    <m/>
    <m/>
    <n v="562"/>
    <n v="768"/>
    <m/>
    <m/>
    <n v="768"/>
    <e v="#REF!"/>
  </r>
  <r>
    <x v="28"/>
    <n v="1"/>
    <n v="16022197"/>
    <s v="SHIELDS MIDDLE SCHOOL"/>
    <m/>
    <m/>
    <n v="1188"/>
    <n v="1368"/>
    <m/>
    <m/>
    <n v="1368"/>
    <e v="#REF!"/>
  </r>
  <r>
    <x v="28"/>
    <n v="1"/>
    <n v="16022192"/>
    <s v="DAVIS ELEMENTARY"/>
    <m/>
    <m/>
    <n v="688"/>
    <n v="797"/>
    <m/>
    <m/>
    <n v="797"/>
    <e v="#REF!"/>
  </r>
  <r>
    <x v="28"/>
    <n v="1"/>
    <n v="16022193"/>
    <s v="FISHHAWK CREEK ELEMENTARY"/>
    <m/>
    <m/>
    <n v="118"/>
    <n v="956"/>
    <m/>
    <m/>
    <n v="956"/>
    <e v="#REF!"/>
  </r>
  <r>
    <x v="28"/>
    <n v="1"/>
    <n v="16022194"/>
    <s v="MACFARLANE PARK ELEM MAGNET"/>
    <m/>
    <m/>
    <n v="129"/>
    <n v="369"/>
    <m/>
    <m/>
    <n v="369"/>
    <e v="#REF!"/>
  </r>
  <r>
    <x v="28"/>
    <n v="1"/>
    <n v="213178"/>
    <s v="CARVER EXCEPTIONAL CENTER"/>
    <m/>
    <m/>
    <n v="59"/>
    <n v="61"/>
    <m/>
    <m/>
    <n v="61"/>
    <e v="#REF!"/>
  </r>
  <r>
    <x v="28"/>
    <n v="1"/>
    <n v="16031648"/>
    <s v="COLLINS ELEMENTARY"/>
    <m/>
    <m/>
    <n v="424"/>
    <n v="1071"/>
    <m/>
    <m/>
    <n v="1071"/>
    <e v="#REF!"/>
  </r>
  <r>
    <x v="28"/>
    <n v="1"/>
    <n v="16031653"/>
    <s v="TURNER BARTELS K-8 SCHOOL"/>
    <m/>
    <m/>
    <n v="690"/>
    <n v="1877"/>
    <m/>
    <m/>
    <n v="1877"/>
    <e v="#REF!"/>
  </r>
  <r>
    <x v="28"/>
    <n v="1"/>
    <n v="16031649"/>
    <s v="FROST ELEMENTARY"/>
    <m/>
    <m/>
    <n v="443"/>
    <n v="580"/>
    <m/>
    <m/>
    <n v="580"/>
    <e v="#REF!"/>
  </r>
  <r>
    <x v="28"/>
    <n v="1"/>
    <n v="16037424"/>
    <s v="DOBY ELEMENTARY"/>
    <m/>
    <m/>
    <n v="381"/>
    <n v="845"/>
    <m/>
    <m/>
    <n v="845"/>
    <e v="#REF!"/>
  </r>
  <r>
    <x v="28"/>
    <n v="1"/>
    <n v="16037425"/>
    <s v="LENNARD HIGH SCHOOL"/>
    <m/>
    <m/>
    <n v="1641"/>
    <n v="2387"/>
    <m/>
    <m/>
    <n v="2387"/>
    <e v="#REF!"/>
  </r>
  <r>
    <x v="28"/>
    <n v="1"/>
    <n v="16052484"/>
    <s v="SMITH MIDDLE SCHOOL"/>
    <m/>
    <m/>
    <n v="551"/>
    <n v="804"/>
    <m/>
    <m/>
    <n v="804"/>
    <e v="#REF!"/>
  </r>
  <r>
    <x v="28"/>
    <n v="1"/>
    <n v="37753"/>
    <s v="ALEXANDER ELEMENTARY"/>
    <m/>
    <m/>
    <n v="551"/>
    <n v="605"/>
    <m/>
    <m/>
    <n v="605"/>
    <e v="#REF!"/>
  </r>
  <r>
    <x v="28"/>
    <n v="1"/>
    <n v="37752"/>
    <s v="PIERCE MIDDLE SCHOOL"/>
    <m/>
    <m/>
    <n v="816"/>
    <n v="909"/>
    <m/>
    <m/>
    <n v="909"/>
    <e v="#REF!"/>
  </r>
  <r>
    <x v="28"/>
    <n v="1"/>
    <n v="16046873"/>
    <s v="SUMMERFIELD CROSSINGS ELEM"/>
    <m/>
    <m/>
    <n v="575"/>
    <n v="960"/>
    <m/>
    <m/>
    <n v="960"/>
    <e v="#REF!"/>
  </r>
  <r>
    <x v="28"/>
    <n v="1"/>
    <n v="16053859"/>
    <s v="STOWERS ELEMENTARY"/>
    <m/>
    <m/>
    <n v="263"/>
    <n v="1058"/>
    <m/>
    <m/>
    <n v="1058"/>
    <e v="#REF!"/>
  </r>
  <r>
    <x v="28"/>
    <n v="1"/>
    <n v="16053860"/>
    <s v="BARRINGTON MIDDLE SCHOOL"/>
    <m/>
    <m/>
    <n v="491"/>
    <n v="1334"/>
    <m/>
    <m/>
    <n v="1334"/>
    <e v="#REF!"/>
  </r>
  <r>
    <x v="28"/>
    <n v="1"/>
    <n v="16053850"/>
    <s v="STEINBRENNER HIGH SCHOOL"/>
    <m/>
    <m/>
    <n v="500"/>
    <n v="2358"/>
    <m/>
    <m/>
    <n v="2358"/>
    <e v="#REF!"/>
  </r>
  <r>
    <x v="28"/>
    <n v="1"/>
    <n v="16053856"/>
    <s v="BAILEY ELEMENTARY"/>
    <m/>
    <m/>
    <n v="536"/>
    <n v="759"/>
    <m/>
    <m/>
    <n v="759"/>
    <e v="#REF!"/>
  </r>
  <r>
    <x v="28"/>
    <n v="1"/>
    <n v="16053851"/>
    <s v="STRAWBERRY CREST HIGH SCHOOL"/>
    <m/>
    <m/>
    <n v="1089"/>
    <n v="2288"/>
    <m/>
    <m/>
    <n v="2288"/>
    <e v="#REF!"/>
  </r>
  <r>
    <x v="28"/>
    <n v="1"/>
    <n v="16042499"/>
    <s v="DEER PARK ELEMENTARY"/>
    <m/>
    <m/>
    <n v="246"/>
    <n v="933"/>
    <m/>
    <m/>
    <n v="933"/>
    <e v="#REF!"/>
  </r>
  <r>
    <x v="28"/>
    <n v="1"/>
    <n v="16046871"/>
    <s v="HAMMOND ELEMENTARY"/>
    <m/>
    <m/>
    <n v="161"/>
    <n v="705"/>
    <m/>
    <m/>
    <n v="705"/>
    <e v="#REF!"/>
  </r>
  <r>
    <x v="28"/>
    <n v="1"/>
    <n v="16052481"/>
    <s v="REDDICK ELEMENTARY"/>
    <m/>
    <m/>
    <n v="783"/>
    <n v="839"/>
    <m/>
    <m/>
    <n v="839"/>
    <e v="#REF!"/>
  </r>
  <r>
    <x v="28"/>
    <n v="1"/>
    <n v="16046872"/>
    <s v="MOSI PARTNERSHIP ELEMENTARY"/>
    <m/>
    <m/>
    <n v="242"/>
    <n v="257"/>
    <m/>
    <m/>
    <n v="257"/>
    <e v="#REF!"/>
  </r>
  <r>
    <x v="28"/>
    <n v="1"/>
    <n v="16052480"/>
    <s v="KIMBELL ELEMENTARY"/>
    <m/>
    <m/>
    <n v="524"/>
    <n v="551"/>
    <m/>
    <m/>
    <n v="551"/>
    <e v="#REF!"/>
  </r>
  <r>
    <x v="28"/>
    <n v="1"/>
    <n v="37725"/>
    <s v="ANDERSON ELEMENTARY"/>
    <m/>
    <m/>
    <n v="215"/>
    <n v="384"/>
    <m/>
    <m/>
    <n v="384"/>
    <e v="#REF!"/>
  </r>
  <r>
    <x v="28"/>
    <n v="1"/>
    <n v="16052482"/>
    <s v="USF/PATEL PARTNERSHIP"/>
    <m/>
    <m/>
    <n v="137"/>
    <n v="205"/>
    <m/>
    <m/>
    <n v="205"/>
    <e v="#REF!"/>
  </r>
  <r>
    <x v="28"/>
    <n v="1"/>
    <m/>
    <s v="SULLIVAN PARTNERSHIP ELEM"/>
    <m/>
    <m/>
    <n v="102"/>
    <n v="102"/>
    <m/>
    <m/>
    <n v="102"/>
    <e v="#REF!"/>
  </r>
  <r>
    <x v="28"/>
    <n v="1"/>
    <n v="16079076"/>
    <s v="THOMPSON ELEMENTARY"/>
    <m/>
    <m/>
    <n v="714"/>
    <n v="856"/>
    <m/>
    <m/>
    <n v="856"/>
    <e v="#REF!"/>
  </r>
  <r>
    <x v="28"/>
    <n v="1"/>
    <n v="16082671"/>
    <s v="LAMB ELEMENTARY"/>
    <m/>
    <m/>
    <n v="525"/>
    <n v="625"/>
    <m/>
    <m/>
    <n v="625"/>
    <e v="#REF!"/>
  </r>
  <r>
    <x v="28"/>
    <n v="1"/>
    <n v="37613"/>
    <s v="ARMWOOD HIGH SCHOOL"/>
    <m/>
    <m/>
    <n v="1536"/>
    <n v="2075"/>
    <m/>
    <m/>
    <n v="2075"/>
    <e v="#REF!"/>
  </r>
  <r>
    <x v="28"/>
    <n v="1"/>
    <n v="37606"/>
    <s v="APOLLO BEACH ELEMENTARY"/>
    <m/>
    <m/>
    <n v="250"/>
    <n v="707"/>
    <m/>
    <m/>
    <n v="707"/>
    <e v="#REF!"/>
  </r>
  <r>
    <x v="28"/>
    <n v="1"/>
    <n v="224830"/>
    <s v="ALONSO HIGH SCHOOL"/>
    <m/>
    <m/>
    <n v="1545"/>
    <n v="2698"/>
    <m/>
    <m/>
    <n v="2698"/>
    <e v="#REF!"/>
  </r>
  <r>
    <x v="28"/>
    <n v="1"/>
    <n v="37727"/>
    <s v="BALLAST POINT ELEMENTARY"/>
    <m/>
    <m/>
    <n v="157"/>
    <n v="421"/>
    <m/>
    <m/>
    <n v="421"/>
    <e v="#REF!"/>
  </r>
  <r>
    <x v="28"/>
    <n v="1"/>
    <n v="37763"/>
    <s v="BAY CREST ELEMENTARY"/>
    <m/>
    <m/>
    <n v="536"/>
    <n v="714"/>
    <m/>
    <m/>
    <n v="714"/>
    <e v="#REF!"/>
  </r>
  <r>
    <x v="28"/>
    <n v="1"/>
    <n v="37842"/>
    <s v="BENITO MIDDLE SCHOOL"/>
    <m/>
    <m/>
    <n v="480"/>
    <n v="1042"/>
    <m/>
    <m/>
    <n v="1042"/>
    <e v="#REF!"/>
  </r>
  <r>
    <x v="28"/>
    <n v="1"/>
    <n v="37800"/>
    <s v="BING ELEMENTARY"/>
    <m/>
    <m/>
    <n v="606"/>
    <n v="643"/>
    <m/>
    <m/>
    <n v="643"/>
    <e v="#REF!"/>
  </r>
  <r>
    <x v="28"/>
    <n v="1"/>
    <n v="37628"/>
    <s v="ALAFIA ELEMENTARY"/>
    <m/>
    <m/>
    <n v="198"/>
    <n v="607"/>
    <m/>
    <m/>
    <n v="607"/>
    <e v="#REF!"/>
  </r>
  <r>
    <x v="28"/>
    <n v="1"/>
    <n v="37683"/>
    <s v="BLAKE HIGH SCHOOL"/>
    <m/>
    <m/>
    <n v="1116"/>
    <n v="1708"/>
    <m/>
    <m/>
    <n v="1708"/>
    <e v="#REF!"/>
  </r>
  <r>
    <x v="28"/>
    <n v="1"/>
    <n v="37679"/>
    <s v="JUST ELEMENTARY"/>
    <m/>
    <m/>
    <n v="499"/>
    <n v="512"/>
    <m/>
    <m/>
    <n v="512"/>
    <e v="#REF!"/>
  </r>
  <r>
    <x v="28"/>
    <n v="1"/>
    <n v="37681"/>
    <s v="STEWART MIDDLE SCHOOL"/>
    <m/>
    <m/>
    <n v="698"/>
    <n v="951"/>
    <m/>
    <m/>
    <n v="951"/>
    <e v="#REF!"/>
  </r>
  <r>
    <x v="28"/>
    <n v="1"/>
    <n v="37522"/>
    <s v="BRANDON HIGH SCHOOL"/>
    <m/>
    <m/>
    <n v="1203"/>
    <n v="1969"/>
    <m/>
    <m/>
    <n v="1969"/>
    <e v="#REF!"/>
  </r>
  <r>
    <x v="28"/>
    <n v="1"/>
    <n v="37599"/>
    <s v="BOYETTE SPRINGS ELEMENTARY"/>
    <m/>
    <m/>
    <n v="302"/>
    <n v="579"/>
    <m/>
    <m/>
    <n v="579"/>
    <e v="#REF!"/>
  </r>
  <r>
    <x v="28"/>
    <n v="1"/>
    <n v="37523"/>
    <s v="MCLANE MIDDLE SCHOOL"/>
    <m/>
    <m/>
    <n v="588"/>
    <n v="693"/>
    <m/>
    <m/>
    <n v="693"/>
    <e v="#REF!"/>
  </r>
  <r>
    <x v="28"/>
    <n v="1"/>
    <n v="224829"/>
    <s v="BEVIS ELEMENTARY"/>
    <m/>
    <m/>
    <n v="87"/>
    <n v="805"/>
    <m/>
    <m/>
    <n v="805"/>
    <e v="#REF!"/>
  </r>
  <r>
    <x v="28"/>
    <n v="1"/>
    <n v="224909"/>
    <s v="WATERS CAREER CENTER"/>
    <m/>
    <m/>
    <n v="154"/>
    <n v="182"/>
    <m/>
    <m/>
    <n v="182"/>
    <e v="#REF!"/>
  </r>
  <r>
    <x v="28"/>
    <n v="1"/>
    <n v="37576"/>
    <s v="SIMMONS CAREER CENTER"/>
    <m/>
    <m/>
    <n v="149"/>
    <n v="195"/>
    <m/>
    <m/>
    <n v="195"/>
    <e v="#REF!"/>
  </r>
  <r>
    <x v="28"/>
    <n v="1"/>
    <n v="37531"/>
    <s v="BROOKER ELEMENTARY"/>
    <m/>
    <m/>
    <n v="420"/>
    <n v="900"/>
    <m/>
    <m/>
    <n v="900"/>
    <e v="#REF!"/>
  </r>
  <r>
    <x v="28"/>
    <n v="1"/>
    <n v="37644"/>
    <s v="BROWARD ELEMENTARY"/>
    <m/>
    <m/>
    <n v="355"/>
    <n v="373"/>
    <m/>
    <m/>
    <n v="373"/>
    <e v="#REF!"/>
  </r>
  <r>
    <x v="28"/>
    <n v="1"/>
    <n v="37592"/>
    <s v="BRYAN  PLANT CITY ELEMENTARY"/>
    <m/>
    <m/>
    <n v="733"/>
    <n v="782"/>
    <m/>
    <m/>
    <n v="782"/>
    <e v="#REF!"/>
  </r>
  <r>
    <x v="28"/>
    <n v="1"/>
    <n v="230477"/>
    <s v="BRYANT ELEMENTARY"/>
    <m/>
    <m/>
    <n v="105"/>
    <n v="975"/>
    <m/>
    <m/>
    <n v="975"/>
    <e v="#REF!"/>
  </r>
  <r>
    <x v="28"/>
    <n v="1"/>
    <n v="37743"/>
    <s v="BUCHANAN MIDDLE SCHOOL"/>
    <m/>
    <m/>
    <n v="535"/>
    <n v="683"/>
    <m/>
    <m/>
    <n v="683"/>
    <e v="#REF!"/>
  </r>
  <r>
    <x v="28"/>
    <n v="1"/>
    <n v="37626"/>
    <s v="BUCKHORN ELEMENTARY"/>
    <m/>
    <m/>
    <n v="255"/>
    <n v="674"/>
    <m/>
    <m/>
    <n v="674"/>
    <e v="#REF!"/>
  </r>
  <r>
    <x v="28"/>
    <n v="1"/>
    <n v="37614"/>
    <s v="BURNETT MIDDLE SCHOOL"/>
    <m/>
    <m/>
    <n v="617"/>
    <n v="731"/>
    <m/>
    <m/>
    <n v="731"/>
    <e v="#REF!"/>
  </r>
  <r>
    <x v="28"/>
    <n v="1"/>
    <n v="230478"/>
    <s v="BURNEY ELEMENTARY"/>
    <m/>
    <m/>
    <n v="327"/>
    <n v="340"/>
    <m/>
    <m/>
    <n v="340"/>
    <e v="#REF!"/>
  </r>
  <r>
    <x v="28"/>
    <n v="1"/>
    <n v="37530"/>
    <s v="BURNS MIDDLE SCHOOL"/>
    <m/>
    <m/>
    <n v="436"/>
    <n v="1239"/>
    <m/>
    <m/>
    <n v="1239"/>
    <e v="#REF!"/>
  </r>
  <r>
    <x v="28"/>
    <n v="1"/>
    <n v="37657"/>
    <s v="CAHOON ELEMENTARY MAGNET"/>
    <m/>
    <m/>
    <n v="369"/>
    <n v="440"/>
    <m/>
    <m/>
    <n v="440"/>
    <e v="#REF!"/>
  </r>
  <r>
    <x v="28"/>
    <n v="1"/>
    <n v="37656"/>
    <s v="VAN BUREN MIDDLE SCHOOL"/>
    <m/>
    <m/>
    <n v="437"/>
    <n v="454"/>
    <m/>
    <m/>
    <n v="454"/>
    <e v="#REF!"/>
  </r>
  <r>
    <x v="28"/>
    <n v="1"/>
    <n v="37808"/>
    <s v="CANNELLA ELEMENTARY"/>
    <m/>
    <m/>
    <n v="545"/>
    <n v="717"/>
    <m/>
    <m/>
    <n v="717"/>
    <e v="#REF!"/>
  </r>
  <r>
    <x v="28"/>
    <n v="1"/>
    <n v="37793"/>
    <s v="CARROLLWOOD ELEMENTARY"/>
    <m/>
    <m/>
    <n v="349"/>
    <n v="800"/>
    <m/>
    <m/>
    <n v="800"/>
    <e v="#REF!"/>
  </r>
  <r>
    <x v="28"/>
    <n v="1"/>
    <n v="37742"/>
    <s v="CHAMBERLAIN HIGH SCHOOL"/>
    <m/>
    <m/>
    <n v="1460"/>
    <n v="1864"/>
    <m/>
    <m/>
    <n v="1864"/>
    <e v="#REF!"/>
  </r>
  <r>
    <x v="28"/>
    <n v="1"/>
    <n v="37729"/>
    <s v="CHIARAMONTE ELEMENTARY"/>
    <m/>
    <m/>
    <n v="267"/>
    <n v="375"/>
    <m/>
    <m/>
    <n v="375"/>
    <e v="#REF!"/>
  </r>
  <r>
    <x v="28"/>
    <n v="1"/>
    <n v="224831"/>
    <s v="CHILES ELEMENTARY"/>
    <m/>
    <m/>
    <n v="347"/>
    <n v="842"/>
    <m/>
    <m/>
    <n v="842"/>
    <e v="#REF!"/>
  </r>
  <r>
    <x v="28"/>
    <n v="1"/>
    <n v="37812"/>
    <s v="CITRUS PARK ELEMENTARY"/>
    <m/>
    <m/>
    <n v="367"/>
    <n v="602"/>
    <m/>
    <m/>
    <n v="602"/>
    <e v="#REF!"/>
  </r>
  <r>
    <x v="28"/>
    <n v="1"/>
    <n v="230479"/>
    <s v="CIMINO ELEMENTARY"/>
    <m/>
    <m/>
    <n v="299"/>
    <n v="893"/>
    <m/>
    <m/>
    <n v="893"/>
    <e v="#REF!"/>
  </r>
  <r>
    <x v="28"/>
    <n v="1"/>
    <n v="37798"/>
    <s v="CLAIR MEL ELEMENTARY"/>
    <m/>
    <m/>
    <n v="607"/>
    <n v="631"/>
    <m/>
    <m/>
    <n v="631"/>
    <e v="#REF!"/>
  </r>
  <r>
    <x v="28"/>
    <n v="1"/>
    <n v="37797"/>
    <s v="DOWDELL MIDDLE SCHOOL"/>
    <m/>
    <m/>
    <n v="569"/>
    <n v="616"/>
    <m/>
    <m/>
    <n v="616"/>
    <e v="#REF!"/>
  </r>
  <r>
    <x v="28"/>
    <n v="1"/>
    <n v="167729"/>
    <s v="CLARK ELEMENTARY"/>
    <m/>
    <m/>
    <n v="370"/>
    <n v="854"/>
    <m/>
    <m/>
    <n v="854"/>
    <e v="#REF!"/>
  </r>
  <r>
    <x v="28"/>
    <n v="1"/>
    <n v="37805"/>
    <s v="CLAYWELL ELEMENTARY"/>
    <m/>
    <m/>
    <n v="427"/>
    <n v="791"/>
    <m/>
    <m/>
    <n v="791"/>
    <e v="#REF!"/>
  </r>
  <r>
    <x v="28"/>
    <n v="1"/>
    <n v="37660"/>
    <s v="CLEVELAND ELEMENTARY"/>
    <m/>
    <m/>
    <n v="363"/>
    <n v="374"/>
    <m/>
    <m/>
    <n v="374"/>
    <e v="#REF!"/>
  </r>
  <r>
    <x v="28"/>
    <n v="1"/>
    <n v="37819"/>
    <s v="COLEMAN MIDDLE SCHOOL"/>
    <m/>
    <m/>
    <n v="179"/>
    <n v="925"/>
    <m/>
    <m/>
    <n v="925"/>
    <e v="#REF!"/>
  </r>
  <r>
    <x v="28"/>
    <n v="1"/>
    <n v="37617"/>
    <s v="COLSON ELEMENTARY"/>
    <m/>
    <m/>
    <n v="457"/>
    <n v="666"/>
    <m/>
    <m/>
    <n v="666"/>
    <e v="#REF!"/>
  </r>
  <r>
    <x v="28"/>
    <n v="1"/>
    <n v="37717"/>
    <s v="LOCKHART ELEMENTARY MAGNET"/>
    <m/>
    <m/>
    <n v="356"/>
    <n v="389"/>
    <m/>
    <m/>
    <n v="389"/>
    <e v="#REF!"/>
  </r>
  <r>
    <x v="28"/>
    <n v="1"/>
    <n v="37574"/>
    <s v="CORK ELEMENTARY"/>
    <m/>
    <m/>
    <n v="513"/>
    <n v="714"/>
    <m/>
    <m/>
    <n v="714"/>
    <e v="#REF!"/>
  </r>
  <r>
    <x v="28"/>
    <n v="1"/>
    <n v="37748"/>
    <s v="CRESTWOOD ELEMENTARY"/>
    <m/>
    <m/>
    <n v="782"/>
    <n v="887"/>
    <m/>
    <m/>
    <n v="887"/>
    <e v="#REF!"/>
  </r>
  <r>
    <x v="28"/>
    <n v="1"/>
    <n v="37607"/>
    <s v="CYPRESS CREEK ELEMENTARY"/>
    <m/>
    <m/>
    <n v="572"/>
    <n v="715"/>
    <m/>
    <m/>
    <n v="715"/>
    <e v="#REF!"/>
  </r>
  <r>
    <x v="28"/>
    <n v="1"/>
    <n v="224826"/>
    <s v="DAVIDSEN MIDDLE SCHOOL"/>
    <m/>
    <m/>
    <n v="567"/>
    <n v="951"/>
    <m/>
    <m/>
    <n v="951"/>
    <e v="#REF!"/>
  </r>
  <r>
    <x v="28"/>
    <n v="1"/>
    <n v="37669"/>
    <s v="DESOTO ELEMENTARY"/>
    <m/>
    <m/>
    <n v="236"/>
    <n v="241"/>
    <m/>
    <m/>
    <n v="241"/>
    <e v="#REF!"/>
  </r>
  <r>
    <x v="28"/>
    <n v="1"/>
    <n v="37766"/>
    <s v="DICKENSON ELEMENTARY"/>
    <m/>
    <m/>
    <n v="520"/>
    <n v="619"/>
    <m/>
    <m/>
    <n v="619"/>
    <e v="#REF!"/>
  </r>
  <r>
    <x v="28"/>
    <n v="1"/>
    <n v="37551"/>
    <s v="DOVER ELEMENTARY"/>
    <m/>
    <m/>
    <n v="669"/>
    <n v="678"/>
    <m/>
    <m/>
    <n v="678"/>
    <e v="#REF!"/>
  </r>
  <r>
    <x v="28"/>
    <n v="1"/>
    <m/>
    <s v="WILLIS PETERS EXCEPTIONAL CTR"/>
    <m/>
    <m/>
    <n v="59"/>
    <n v="81"/>
    <m/>
    <m/>
    <n v="81"/>
    <e v="#REF!"/>
  </r>
  <r>
    <x v="28"/>
    <n v="1"/>
    <n v="37688"/>
    <s v="DUNBAR ELEMENTARY"/>
    <m/>
    <m/>
    <n v="240"/>
    <n v="274"/>
    <m/>
    <m/>
    <n v="274"/>
    <e v="#REF!"/>
  </r>
  <r>
    <x v="28"/>
    <n v="1"/>
    <n v="37590"/>
    <s v="DURANT HIGH SCHOOL"/>
    <m/>
    <m/>
    <n v="1145"/>
    <n v="2415"/>
    <m/>
    <m/>
    <n v="2415"/>
    <e v="#REF!"/>
  </r>
  <r>
    <x v="28"/>
    <n v="1"/>
    <n v="37555"/>
    <s v="EAST BAY HIGH SCHOOL"/>
    <m/>
    <m/>
    <n v="1352"/>
    <n v="2403"/>
    <m/>
    <m/>
    <n v="2403"/>
    <e v="#REF!"/>
  </r>
  <r>
    <x v="28"/>
    <n v="1"/>
    <n v="37553"/>
    <s v="EISENHOWER MIDDLE SCHOOL"/>
    <m/>
    <m/>
    <n v="783"/>
    <n v="1204"/>
    <m/>
    <m/>
    <n v="1204"/>
    <e v="#REF!"/>
  </r>
  <r>
    <x v="28"/>
    <n v="1"/>
    <n v="37710"/>
    <s v="EDISON ELEMENTARY"/>
    <m/>
    <m/>
    <n v="474"/>
    <n v="494"/>
    <m/>
    <m/>
    <n v="494"/>
    <e v="#REF!"/>
  </r>
  <r>
    <x v="28"/>
    <n v="1"/>
    <n v="37751"/>
    <s v="EGYPT LAKE ELEMENTARY"/>
    <m/>
    <m/>
    <n v="521"/>
    <n v="574"/>
    <m/>
    <m/>
    <n v="574"/>
    <e v="#REF!"/>
  </r>
  <r>
    <x v="28"/>
    <n v="1"/>
    <n v="37809"/>
    <s v="ESSRIG ELEMENTARY"/>
    <m/>
    <m/>
    <n v="407"/>
    <n v="676"/>
    <m/>
    <m/>
    <n v="676"/>
    <e v="#REF!"/>
  </r>
  <r>
    <x v="28"/>
    <n v="1"/>
    <n v="230482"/>
    <s v="FARNELL MIDDLE SCHOOL"/>
    <m/>
    <m/>
    <n v="352"/>
    <n v="1363"/>
    <m/>
    <m/>
    <n v="1363"/>
    <e v="#REF!"/>
  </r>
  <r>
    <x v="28"/>
    <n v="1"/>
    <n v="37624"/>
    <s v="FOLSOM ELEMENTARY"/>
    <m/>
    <m/>
    <n v="517"/>
    <n v="587"/>
    <m/>
    <m/>
    <n v="587"/>
    <e v="#REF!"/>
  </r>
  <r>
    <x v="28"/>
    <n v="1"/>
    <n v="37704"/>
    <s v="FOSTER ELEMENTARY"/>
    <m/>
    <m/>
    <n v="462"/>
    <n v="494"/>
    <m/>
    <m/>
    <n v="494"/>
    <e v="#REF!"/>
  </r>
  <r>
    <x v="28"/>
    <n v="1"/>
    <n v="37698"/>
    <s v="SLIGH MIDDLE SCHOOL"/>
    <m/>
    <m/>
    <n v="418"/>
    <n v="453"/>
    <m/>
    <m/>
    <n v="453"/>
    <e v="#REF!"/>
  </r>
  <r>
    <x v="28"/>
    <n v="1"/>
    <n v="37663"/>
    <s v="FREEDOM HIGH SCHOOL"/>
    <m/>
    <m/>
    <n v="1220"/>
    <n v="2134"/>
    <m/>
    <m/>
    <n v="2134"/>
    <e v="#REF!"/>
  </r>
  <r>
    <x v="28"/>
    <n v="1"/>
    <n v="230483"/>
    <s v="FRANKLIN (BOYS) MIDDLE MAGNET"/>
    <m/>
    <m/>
    <n v="322"/>
    <n v="501"/>
    <m/>
    <m/>
    <n v="501"/>
    <e v="#REF!"/>
  </r>
  <r>
    <x v="28"/>
    <n v="1"/>
    <n v="37789"/>
    <s v="GAITHER HIGH SCHOOL"/>
    <m/>
    <m/>
    <n v="1076"/>
    <n v="2125"/>
    <m/>
    <m/>
    <n v="2125"/>
    <e v="#REF!"/>
  </r>
  <r>
    <x v="28"/>
    <n v="1"/>
    <n v="37552"/>
    <s v="GIBSONTON ELEMENTARY"/>
    <m/>
    <m/>
    <n v="572"/>
    <n v="612"/>
    <m/>
    <m/>
    <n v="612"/>
    <e v="#REF!"/>
  </r>
  <r>
    <x v="28"/>
    <n v="1"/>
    <n v="37673"/>
    <s v="GORRIE ELEMENTARY"/>
    <m/>
    <m/>
    <n v="95"/>
    <n v="568"/>
    <m/>
    <m/>
    <n v="568"/>
    <e v="#REF!"/>
  </r>
  <r>
    <x v="28"/>
    <n v="1"/>
    <n v="37816"/>
    <s v="GRADY ELEMENTARY"/>
    <m/>
    <m/>
    <n v="175"/>
    <n v="453"/>
    <m/>
    <m/>
    <n v="453"/>
    <e v="#REF!"/>
  </r>
  <r>
    <x v="28"/>
    <n v="1"/>
    <n v="37635"/>
    <s v="GRAHAM ELEMENTARY"/>
    <m/>
    <m/>
    <n v="389"/>
    <n v="401"/>
    <m/>
    <m/>
    <n v="401"/>
    <e v="#REF!"/>
  </r>
  <r>
    <x v="28"/>
    <n v="1"/>
    <n v="37758"/>
    <s v="BELLAMY ELEMENTARY"/>
    <m/>
    <m/>
    <n v="565"/>
    <n v="671"/>
    <m/>
    <m/>
    <n v="671"/>
    <e v="#REF!"/>
  </r>
  <r>
    <x v="28"/>
    <n v="1"/>
    <n v="37774"/>
    <s v="GRECO MIDDLE SCHOOL"/>
    <m/>
    <m/>
    <n v="629"/>
    <n v="719"/>
    <m/>
    <m/>
    <n v="719"/>
    <e v="#REF!"/>
  </r>
  <r>
    <x v="28"/>
    <n v="1"/>
    <n v="234469"/>
    <s v="HERITAGE ELEMENTARY"/>
    <m/>
    <m/>
    <n v="328"/>
    <n v="672"/>
    <m/>
    <m/>
    <n v="672"/>
    <e v="#REF!"/>
  </r>
  <r>
    <x v="28"/>
    <n v="1"/>
    <n v="37807"/>
    <s v="HILL MIDDLE SCHOOL"/>
    <m/>
    <m/>
    <n v="487"/>
    <n v="834"/>
    <m/>
    <m/>
    <n v="834"/>
    <e v="#REF!"/>
  </r>
  <r>
    <x v="28"/>
    <n v="1"/>
    <n v="37645"/>
    <s v="HILLSBOROUGH HIGH SCHOOL"/>
    <m/>
    <m/>
    <n v="1304"/>
    <n v="1981"/>
    <m/>
    <m/>
    <n v="1981"/>
    <e v="#REF!"/>
  </r>
  <r>
    <x v="28"/>
    <n v="1"/>
    <n v="212095"/>
    <s v="HUNTER'S GREEN ELEMENTARY"/>
    <m/>
    <m/>
    <n v="526"/>
    <n v="822"/>
    <m/>
    <m/>
    <n v="822"/>
    <e v="#REF!"/>
  </r>
  <r>
    <x v="28"/>
    <n v="1"/>
    <n v="230481"/>
    <s v="IPPOLITO ELEMENTARY"/>
    <m/>
    <m/>
    <n v="442"/>
    <n v="520"/>
    <m/>
    <m/>
    <n v="520"/>
    <e v="#REF!"/>
  </r>
  <r>
    <x v="28"/>
    <n v="1"/>
    <n v="37580"/>
    <s v="JACKSON ELEMENTARY"/>
    <m/>
    <m/>
    <n v="493"/>
    <n v="537"/>
    <m/>
    <m/>
    <n v="537"/>
    <e v="#REF!"/>
  </r>
  <r>
    <x v="28"/>
    <n v="1"/>
    <n v="234466"/>
    <s v="JENNINGS MIDDLE SCHOOL"/>
    <m/>
    <m/>
    <n v="633"/>
    <n v="709"/>
    <m/>
    <m/>
    <n v="709"/>
    <e v="#REF!"/>
  </r>
  <r>
    <x v="28"/>
    <n v="1"/>
    <n v="37795"/>
    <s v="KENLY ELEMENTARY"/>
    <m/>
    <m/>
    <n v="543"/>
    <n v="573"/>
    <m/>
    <m/>
    <n v="573"/>
    <e v="#REF!"/>
  </r>
  <r>
    <x v="28"/>
    <n v="1"/>
    <n v="37701"/>
    <s v="KING HIGH SCHOOL"/>
    <m/>
    <m/>
    <n v="1120"/>
    <n v="1858"/>
    <m/>
    <m/>
    <n v="1858"/>
    <e v="#REF!"/>
  </r>
  <r>
    <x v="28"/>
    <n v="1"/>
    <n v="37533"/>
    <s v="KINGSWOOD ELEMENTARY"/>
    <m/>
    <m/>
    <n v="477"/>
    <n v="625"/>
    <m/>
    <m/>
    <n v="625"/>
    <e v="#REF!"/>
  </r>
  <r>
    <x v="28"/>
    <n v="1"/>
    <n v="37575"/>
    <s v="KNIGHTS ELEMENTARY"/>
    <m/>
    <m/>
    <n v="618"/>
    <n v="770"/>
    <m/>
    <m/>
    <n v="770"/>
    <e v="#REF!"/>
  </r>
  <r>
    <x v="28"/>
    <n v="1"/>
    <n v="37732"/>
    <s v="LAKE MAGDALENE ELEMENTARY"/>
    <m/>
    <m/>
    <n v="539"/>
    <n v="879"/>
    <m/>
    <m/>
    <n v="879"/>
    <e v="#REF!"/>
  </r>
  <r>
    <x v="28"/>
    <n v="1"/>
    <n v="37768"/>
    <s v="LANIER ELEMENTARY"/>
    <m/>
    <m/>
    <n v="331"/>
    <n v="427"/>
    <m/>
    <m/>
    <n v="427"/>
    <e v="#REF!"/>
  </r>
  <r>
    <x v="28"/>
    <n v="1"/>
    <n v="37769"/>
    <s v="MONROE MIDDLE SCHOOL"/>
    <m/>
    <m/>
    <n v="332"/>
    <n v="395"/>
    <m/>
    <m/>
    <n v="395"/>
    <e v="#REF!"/>
  </r>
  <r>
    <x v="28"/>
    <n v="1"/>
    <n v="37637"/>
    <s v="LEE ELEM.TECH./ WORLD STUDIES"/>
    <m/>
    <m/>
    <n v="238"/>
    <n v="316"/>
    <m/>
    <m/>
    <n v="316"/>
    <e v="#REF!"/>
  </r>
  <r>
    <x v="28"/>
    <n v="1"/>
    <n v="37750"/>
    <s v="LETO HIGH SCHOOL"/>
    <m/>
    <m/>
    <n v="1733"/>
    <n v="2113"/>
    <m/>
    <m/>
    <n v="2113"/>
    <e v="#REF!"/>
  </r>
  <r>
    <x v="28"/>
    <n v="1"/>
    <n v="37519"/>
    <s v="LIMONA ELEMENTARY"/>
    <m/>
    <m/>
    <n v="323"/>
    <n v="585"/>
    <m/>
    <m/>
    <n v="585"/>
    <e v="#REF!"/>
  </r>
  <r>
    <x v="28"/>
    <n v="1"/>
    <n v="37582"/>
    <s v="LINCOLN ELEMENTARY MAGNET"/>
    <m/>
    <m/>
    <n v="260"/>
    <n v="425"/>
    <m/>
    <m/>
    <n v="425"/>
    <e v="#REF!"/>
  </r>
  <r>
    <x v="28"/>
    <n v="1"/>
    <n v="37778"/>
    <s v="LEWIS ELEMENTARY"/>
    <m/>
    <m/>
    <n v="564"/>
    <n v="848"/>
    <m/>
    <m/>
    <n v="848"/>
    <e v="#REF!"/>
  </r>
  <r>
    <x v="28"/>
    <n v="1"/>
    <n v="37629"/>
    <s v="LITHIA SPRINGS ELEMENTARY"/>
    <m/>
    <m/>
    <n v="117"/>
    <n v="581"/>
    <m/>
    <m/>
    <n v="581"/>
    <e v="#REF!"/>
  </r>
  <r>
    <x v="28"/>
    <n v="1"/>
    <n v="230484"/>
    <s v="LIBERTY MIDDLE SCHOOL"/>
    <m/>
    <m/>
    <n v="743"/>
    <n v="1244"/>
    <m/>
    <m/>
    <n v="1244"/>
    <e v="#REF!"/>
  </r>
  <r>
    <x v="28"/>
    <n v="1"/>
    <n v="203968"/>
    <s v="LOMAX ELEMENTARY MAGNET"/>
    <m/>
    <m/>
    <n v="270"/>
    <n v="387"/>
    <m/>
    <m/>
    <n v="387"/>
    <e v="#REF!"/>
  </r>
  <r>
    <x v="28"/>
    <n v="1"/>
    <n v="37615"/>
    <s v="LOPEZ ELEMENTARY"/>
    <m/>
    <m/>
    <n v="371"/>
    <n v="451"/>
    <m/>
    <m/>
    <n v="451"/>
    <e v="#REF!"/>
  </r>
  <r>
    <x v="28"/>
    <n v="1"/>
    <n v="37616"/>
    <s v="LOPEZ EXCEPTIONAL CENTER"/>
    <m/>
    <m/>
    <n v="34"/>
    <n v="51"/>
    <m/>
    <m/>
    <n v="51"/>
    <e v="#REF!"/>
  </r>
  <r>
    <x v="28"/>
    <n v="1"/>
    <n v="37835"/>
    <s v="LOWRY ELEMENTARY"/>
    <m/>
    <m/>
    <n v="333"/>
    <n v="902"/>
    <m/>
    <m/>
    <n v="902"/>
    <e v="#REF!"/>
  </r>
  <r>
    <x v="28"/>
    <n v="1"/>
    <n v="37569"/>
    <s v="LUTZ ELEMENTARY"/>
    <m/>
    <m/>
    <n v="273"/>
    <n v="625"/>
    <m/>
    <m/>
    <n v="625"/>
    <e v="#REF!"/>
  </r>
  <r>
    <x v="28"/>
    <n v="1"/>
    <n v="37820"/>
    <s v="MABRY ELEMENTARY"/>
    <m/>
    <m/>
    <n v="96"/>
    <n v="755"/>
    <m/>
    <m/>
    <n v="755"/>
    <e v="#REF!"/>
  </r>
  <r>
    <x v="28"/>
    <n v="1"/>
    <n v="37722"/>
    <s v="MADISON MIDDLE SCHOOL"/>
    <m/>
    <m/>
    <n v="532"/>
    <n v="681"/>
    <m/>
    <m/>
    <n v="681"/>
    <e v="#REF!"/>
  </r>
  <r>
    <x v="28"/>
    <n v="1"/>
    <n v="37619"/>
    <s v="MANGO ELEMENTARY"/>
    <m/>
    <m/>
    <n v="750"/>
    <n v="828"/>
    <m/>
    <m/>
    <n v="828"/>
    <e v="#REF!"/>
  </r>
  <r>
    <x v="28"/>
    <n v="1"/>
    <n v="37570"/>
    <s v="MANISCALCO ELEMENTARY"/>
    <m/>
    <m/>
    <n v="322"/>
    <n v="554"/>
    <m/>
    <m/>
    <n v="554"/>
    <e v="#REF!"/>
  </r>
  <r>
    <x v="28"/>
    <n v="1"/>
    <n v="37520"/>
    <s v="MANN MIDDLE SCHOOL"/>
    <m/>
    <m/>
    <n v="741"/>
    <n v="1016"/>
    <m/>
    <m/>
    <n v="1016"/>
    <e v="#REF!"/>
  </r>
  <r>
    <x v="28"/>
    <n v="1"/>
    <n v="37583"/>
    <s v="MARSHALL MIDDLE SCHOOL"/>
    <m/>
    <m/>
    <n v="664"/>
    <n v="797"/>
    <m/>
    <m/>
    <n v="797"/>
    <e v="#REF!"/>
  </r>
  <r>
    <x v="28"/>
    <n v="1"/>
    <n v="230486"/>
    <s v="MARTINEZ MIDDLE SCHOOL"/>
    <m/>
    <m/>
    <n v="224"/>
    <n v="1138"/>
    <m/>
    <m/>
    <n v="1138"/>
    <e v="#REF!"/>
  </r>
  <r>
    <x v="28"/>
    <n v="1"/>
    <n v="37611"/>
    <s v="MCDONALD ELEMENTARY"/>
    <m/>
    <m/>
    <n v="569"/>
    <n v="631"/>
    <m/>
    <m/>
    <n v="631"/>
    <e v="#REF!"/>
  </r>
  <r>
    <x v="28"/>
    <n v="1"/>
    <n v="37661"/>
    <s v="MEMORIAL MIDDLE SCHOOL"/>
    <m/>
    <m/>
    <n v="599"/>
    <n v="645"/>
    <m/>
    <m/>
    <n v="645"/>
    <e v="#REF!"/>
  </r>
  <r>
    <x v="28"/>
    <n v="1"/>
    <n v="37643"/>
    <s v="MENDENHALL ELEMENTARY"/>
    <m/>
    <m/>
    <n v="613"/>
    <n v="690"/>
    <m/>
    <m/>
    <n v="690"/>
    <e v="#REF!"/>
  </r>
  <r>
    <x v="28"/>
    <n v="1"/>
    <n v="37705"/>
    <s v="MENDEZ EXCEPTIONAL CENTER"/>
    <m/>
    <m/>
    <n v="18"/>
    <n v="23"/>
    <m/>
    <m/>
    <n v="23"/>
    <e v="#REF!"/>
  </r>
  <r>
    <x v="28"/>
    <n v="1"/>
    <n v="37715"/>
    <s v="FERRELL (GIRLS) MIDDLE MAGNET"/>
    <m/>
    <m/>
    <n v="374"/>
    <n v="505"/>
    <m/>
    <m/>
    <n v="505"/>
    <e v="#REF!"/>
  </r>
  <r>
    <x v="28"/>
    <n v="1"/>
    <n v="230487"/>
    <s v="MIDDLETON HIGH SCHOOL"/>
    <m/>
    <m/>
    <n v="1081"/>
    <n v="1587"/>
    <m/>
    <m/>
    <n v="1587"/>
    <e v="#REF!"/>
  </r>
  <r>
    <x v="28"/>
    <n v="1"/>
    <n v="37731"/>
    <s v="MILES ELEMENTARY"/>
    <m/>
    <m/>
    <n v="784"/>
    <n v="816"/>
    <m/>
    <m/>
    <n v="816"/>
    <e v="#REF!"/>
  </r>
  <r>
    <x v="28"/>
    <n v="1"/>
    <n v="37526"/>
    <s v="MINTZ ELEMENTARY"/>
    <m/>
    <m/>
    <n v="584"/>
    <n v="861"/>
    <m/>
    <m/>
    <n v="861"/>
    <e v="#REF!"/>
  </r>
  <r>
    <x v="28"/>
    <n v="1"/>
    <n v="37694"/>
    <s v="MITCHELL ELEMENTARY"/>
    <m/>
    <m/>
    <n v="199"/>
    <n v="669"/>
    <m/>
    <m/>
    <n v="669"/>
    <e v="#REF!"/>
  </r>
  <r>
    <x v="28"/>
    <n v="1"/>
    <n v="230555"/>
    <s v="MCKITRICK ELEMENTARY"/>
    <m/>
    <m/>
    <n v="130"/>
    <n v="953"/>
    <m/>
    <m/>
    <n v="953"/>
    <e v="#REF!"/>
  </r>
  <r>
    <x v="28"/>
    <n v="1"/>
    <n v="37828"/>
    <s v="MORGAN WOODS ELEMENTARY"/>
    <m/>
    <m/>
    <n v="455"/>
    <n v="533"/>
    <m/>
    <m/>
    <n v="533"/>
    <e v="#REF!"/>
  </r>
  <r>
    <x v="28"/>
    <n v="1"/>
    <n v="37745"/>
    <s v="MORT ELEMENTARY"/>
    <m/>
    <m/>
    <n v="779"/>
    <n v="831"/>
    <m/>
    <m/>
    <n v="831"/>
    <e v="#REF!"/>
  </r>
  <r>
    <x v="28"/>
    <n v="1"/>
    <n v="234467"/>
    <s v="MULRENNAN MIDDLE SCHOOL"/>
    <m/>
    <m/>
    <n v="492"/>
    <n v="1131"/>
    <m/>
    <m/>
    <n v="1131"/>
    <e v="#REF!"/>
  </r>
  <r>
    <x v="28"/>
    <n v="1"/>
    <n v="234473"/>
    <s v="NELSON ELEMENTARY"/>
    <m/>
    <m/>
    <n v="497"/>
    <n v="831"/>
    <m/>
    <m/>
    <n v="831"/>
    <e v="#REF!"/>
  </r>
  <r>
    <x v="28"/>
    <n v="1"/>
    <n v="37810"/>
    <s v="NORTHWEST ELEMENTARY"/>
    <m/>
    <m/>
    <n v="262"/>
    <n v="645"/>
    <m/>
    <m/>
    <n v="645"/>
    <e v="#REF!"/>
  </r>
  <r>
    <x v="28"/>
    <n v="1"/>
    <n v="235194"/>
    <s v="OAK GROVE ELEMENTARY"/>
    <m/>
    <m/>
    <n v="798"/>
    <n v="868"/>
    <m/>
    <m/>
    <n v="868"/>
    <e v="#REF!"/>
  </r>
  <r>
    <x v="28"/>
    <n v="1"/>
    <n v="16031792"/>
    <s v="NEWSOME HIGH SCHOOL"/>
    <m/>
    <m/>
    <n v="444"/>
    <n v="2599"/>
    <m/>
    <m/>
    <n v="2599"/>
    <e v="#REF!"/>
  </r>
  <r>
    <x v="28"/>
    <n v="1"/>
    <n v="234471"/>
    <s v="MULLER ELEMENTARY MAGNET"/>
    <m/>
    <m/>
    <n v="299"/>
    <n v="363"/>
    <m/>
    <m/>
    <n v="363"/>
    <e v="#REF!"/>
  </r>
  <r>
    <x v="28"/>
    <n v="1"/>
    <n v="37665"/>
    <s v="OAK PARK ELEMENTARY"/>
    <m/>
    <m/>
    <n v="562"/>
    <n v="578"/>
    <m/>
    <m/>
    <n v="578"/>
    <e v="#REF!"/>
  </r>
  <r>
    <x v="28"/>
    <n v="1"/>
    <n v="203970"/>
    <s v="ORANGE GROVE MIDDLE MAGNET"/>
    <m/>
    <m/>
    <n v="295"/>
    <n v="530"/>
    <m/>
    <m/>
    <n v="530"/>
    <e v="#REF!"/>
  </r>
  <r>
    <x v="28"/>
    <n v="1"/>
    <n v="37796"/>
    <s v="PALM RIVER ELEMENTARY"/>
    <m/>
    <m/>
    <n v="484"/>
    <n v="513"/>
    <m/>
    <m/>
    <n v="513"/>
    <e v="#REF!"/>
  </r>
  <r>
    <x v="28"/>
    <n v="1"/>
    <n v="37566"/>
    <s v="PINECREST ELEMENTARY"/>
    <m/>
    <m/>
    <n v="428"/>
    <n v="574"/>
    <m/>
    <m/>
    <n v="574"/>
    <e v="#REF!"/>
  </r>
  <r>
    <x v="28"/>
    <n v="1"/>
    <n v="196951"/>
    <s v="RIVERVIEW HIGH SCHOOL"/>
    <m/>
    <m/>
    <n v="1118"/>
    <n v="2468"/>
    <m/>
    <m/>
    <n v="2468"/>
    <e v="#REF!"/>
  </r>
  <r>
    <x v="28"/>
    <n v="1"/>
    <n v="203971"/>
    <s v="PIZZO ELEMENTARY"/>
    <m/>
    <m/>
    <n v="685"/>
    <n v="761"/>
    <m/>
    <m/>
    <n v="761"/>
    <e v="#REF!"/>
  </r>
  <r>
    <x v="28"/>
    <n v="1"/>
    <n v="37817"/>
    <s v="PLANT HIGH SCHOOL"/>
    <m/>
    <m/>
    <n v="507"/>
    <n v="2390"/>
    <m/>
    <m/>
    <n v="2390"/>
    <e v="#REF!"/>
  </r>
  <r>
    <x v="28"/>
    <n v="1"/>
    <n v="37586"/>
    <s v="PLANT CITY HIGH SCHOOL"/>
    <m/>
    <m/>
    <n v="1525"/>
    <n v="2389"/>
    <m/>
    <m/>
    <n v="2389"/>
    <e v="#REF!"/>
  </r>
  <r>
    <x v="28"/>
    <n v="1"/>
    <n v="224828"/>
    <s v="PRIDE ELEMENTARY"/>
    <m/>
    <m/>
    <n v="235"/>
    <n v="953"/>
    <m/>
    <m/>
    <n v="953"/>
    <e v="#REF!"/>
  </r>
  <r>
    <x v="28"/>
    <n v="1"/>
    <n v="37591"/>
    <s v="TOMLIN MIDDLE SCHOOL"/>
    <m/>
    <m/>
    <n v="1056"/>
    <n v="1544"/>
    <m/>
    <m/>
    <n v="1544"/>
    <e v="#REF!"/>
  </r>
  <r>
    <x v="28"/>
    <n v="1"/>
    <n v="37712"/>
    <s v="POTTER ELEMENTARY"/>
    <m/>
    <m/>
    <n v="646"/>
    <n v="655"/>
    <m/>
    <m/>
    <n v="655"/>
    <e v="#REF!"/>
  </r>
  <r>
    <x v="28"/>
    <n v="1"/>
    <n v="37802"/>
    <s v="PROGRESS VILLAGE MIDDLE SCHOOL"/>
    <m/>
    <m/>
    <n v="467"/>
    <n v="869"/>
    <m/>
    <m/>
    <n v="869"/>
    <e v="#REF!"/>
  </r>
  <r>
    <x v="28"/>
    <n v="1"/>
    <n v="224827"/>
    <s v="RANDALL MIDDLE SCHOOL"/>
    <m/>
    <m/>
    <n v="182"/>
    <n v="1405"/>
    <m/>
    <m/>
    <n v="1405"/>
    <e v="#REF!"/>
  </r>
  <r>
    <x v="28"/>
    <n v="1"/>
    <n v="37786"/>
    <s v="RIVERHILLS ELEMENTARY MAGNET"/>
    <m/>
    <m/>
    <n v="253"/>
    <n v="411"/>
    <m/>
    <m/>
    <n v="411"/>
    <e v="#REF!"/>
  </r>
  <r>
    <x v="28"/>
    <n v="1"/>
    <n v="37596"/>
    <s v="RIVERVIEW ELEMENTARY"/>
    <m/>
    <m/>
    <n v="415"/>
    <n v="608"/>
    <m/>
    <m/>
    <n v="608"/>
    <e v="#REF!"/>
  </r>
  <r>
    <x v="28"/>
    <n v="1"/>
    <n v="37593"/>
    <s v="ROBINSON ELEMENTARY"/>
    <m/>
    <m/>
    <n v="527"/>
    <n v="622"/>
    <m/>
    <m/>
    <n v="622"/>
    <e v="#REF!"/>
  </r>
  <r>
    <x v="28"/>
    <n v="1"/>
    <n v="37771"/>
    <s v="ROBINSON HIGH SCHOOL"/>
    <m/>
    <m/>
    <n v="719"/>
    <n v="1639"/>
    <m/>
    <m/>
    <n v="1639"/>
    <e v="#REF!"/>
  </r>
  <r>
    <x v="28"/>
    <n v="1"/>
    <n v="37699"/>
    <s v="ROBLES ELEMENTARY"/>
    <m/>
    <m/>
    <n v="727"/>
    <n v="773"/>
    <m/>
    <m/>
    <n v="773"/>
    <e v="#REF!"/>
  </r>
  <r>
    <x v="28"/>
    <n v="1"/>
    <n v="203974"/>
    <s v="RODGERS MIDDLE SCHOOL"/>
    <m/>
    <m/>
    <n v="485"/>
    <n v="686"/>
    <m/>
    <m/>
    <n v="686"/>
    <e v="#REF!"/>
  </r>
  <r>
    <x v="28"/>
    <n v="1"/>
    <n v="37684"/>
    <s v="LAVOY EXCEPTIONAL CENTER"/>
    <m/>
    <m/>
    <n v="61"/>
    <n v="90"/>
    <m/>
    <m/>
    <n v="90"/>
    <e v="#REF!"/>
  </r>
  <r>
    <x v="28"/>
    <n v="1"/>
    <n v="37686"/>
    <s v="JEFFERSON HIGH SCHOOL"/>
    <m/>
    <m/>
    <n v="1269"/>
    <n v="1668"/>
    <m/>
    <m/>
    <n v="1668"/>
    <e v="#REF!"/>
  </r>
  <r>
    <x v="28"/>
    <n v="1"/>
    <n v="37823"/>
    <s v="ROOSEVELT ELEMENTARY"/>
    <m/>
    <m/>
    <n v="77"/>
    <n v="694"/>
    <m/>
    <m/>
    <n v="694"/>
    <e v="#REF!"/>
  </r>
  <r>
    <x v="28"/>
    <n v="1"/>
    <n v="37687"/>
    <s v="ROLAND PARK K-8 MAGNET"/>
    <m/>
    <m/>
    <n v="285"/>
    <n v="800"/>
    <m/>
    <m/>
    <n v="800"/>
    <e v="#REF!"/>
  </r>
  <r>
    <x v="28"/>
    <n v="1"/>
    <n v="37603"/>
    <s v="RUSKIN ELEMENTARY"/>
    <m/>
    <m/>
    <n v="775"/>
    <n v="861"/>
    <m/>
    <m/>
    <n v="861"/>
    <e v="#REF!"/>
  </r>
  <r>
    <x v="28"/>
    <n v="1"/>
    <n v="234475"/>
    <s v="SCHMIDT ELEMENTARY"/>
    <m/>
    <m/>
    <n v="497"/>
    <n v="630"/>
    <m/>
    <m/>
    <n v="630"/>
    <e v="#REF!"/>
  </r>
  <r>
    <x v="28"/>
    <n v="1"/>
    <n v="37568"/>
    <s v="SCHWARZKOPF ELEMENTARY"/>
    <m/>
    <m/>
    <n v="258"/>
    <n v="660"/>
    <m/>
    <m/>
    <n v="660"/>
    <e v="#REF!"/>
  </r>
  <r>
    <x v="28"/>
    <n v="1"/>
    <n v="37618"/>
    <s v="SEFFNER ELEMENTARY"/>
    <m/>
    <m/>
    <n v="463"/>
    <n v="702"/>
    <m/>
    <m/>
    <n v="702"/>
    <e v="#REF!"/>
  </r>
  <r>
    <x v="28"/>
    <n v="1"/>
    <n v="37662"/>
    <s v="SEMINOLE ELEMENTARY"/>
    <m/>
    <m/>
    <n v="394"/>
    <n v="501"/>
    <m/>
    <m/>
    <n v="501"/>
    <e v="#REF!"/>
  </r>
  <r>
    <x v="28"/>
    <n v="1"/>
    <n v="234476"/>
    <s v="SESSUMS ELEMENTARY"/>
    <m/>
    <m/>
    <n v="614"/>
    <n v="1051"/>
    <m/>
    <m/>
    <n v="1051"/>
    <e v="#REF!"/>
  </r>
  <r>
    <x v="28"/>
    <n v="1"/>
    <n v="37734"/>
    <s v="SHAW ELEMENTARY"/>
    <m/>
    <m/>
    <n v="727"/>
    <n v="756"/>
    <m/>
    <m/>
    <n v="756"/>
    <e v="#REF!"/>
  </r>
  <r>
    <x v="28"/>
    <n v="1"/>
    <n v="37668"/>
    <s v="SHORE ELEMENTARY"/>
    <m/>
    <m/>
    <n v="292"/>
    <n v="381"/>
    <m/>
    <m/>
    <n v="381"/>
    <e v="#REF!"/>
  </r>
  <r>
    <x v="28"/>
    <n v="1"/>
    <n v="37576"/>
    <s v="SIMMONS EXCEPTIONAL CENTER"/>
    <m/>
    <m/>
    <n v="24"/>
    <n v="32"/>
    <m/>
    <m/>
    <n v="32"/>
    <e v="#REF!"/>
  </r>
  <r>
    <x v="28"/>
    <n v="1"/>
    <n v="37627"/>
    <s v="BLOOMINGDALE HIGH SCHOOL"/>
    <m/>
    <m/>
    <n v="914"/>
    <n v="2264"/>
    <m/>
    <m/>
    <n v="2264"/>
    <e v="#REF!"/>
  </r>
  <r>
    <x v="28"/>
    <n v="1"/>
    <n v="37814"/>
    <s v="SICKLES HIGH SCHOOL"/>
    <m/>
    <m/>
    <n v="856"/>
    <n v="2253"/>
    <m/>
    <m/>
    <n v="2253"/>
    <e v="#REF!"/>
  </r>
  <r>
    <x v="28"/>
    <n v="1"/>
    <n v="230488"/>
    <s v="SOUTH COUNTY CAREER CENTER"/>
    <m/>
    <m/>
    <n v="167"/>
    <n v="211"/>
    <m/>
    <m/>
    <n v="211"/>
    <e v="#REF!"/>
  </r>
  <r>
    <x v="28"/>
    <n v="1"/>
    <n v="16024090"/>
    <s v="BOWERS-WHITLEY CAREER CENTER"/>
    <m/>
    <m/>
    <n v="161"/>
    <n v="183"/>
    <m/>
    <m/>
    <n v="183"/>
    <e v="#REF!"/>
  </r>
  <r>
    <x v="28"/>
    <n v="1"/>
    <n v="37581"/>
    <s v="SPRINGHEAD ELEMENTARY"/>
    <m/>
    <m/>
    <n v="739"/>
    <n v="890"/>
    <m/>
    <m/>
    <n v="890"/>
    <e v="#REF!"/>
  </r>
  <r>
    <x v="28"/>
    <n v="1"/>
    <n v="37655"/>
    <s v="SULPHUR SPRINGS K-8 COMMUNITY"/>
    <m/>
    <m/>
    <n v="750"/>
    <n v="775"/>
    <m/>
    <m/>
    <n v="775"/>
    <e v="#REF!"/>
  </r>
  <r>
    <x v="28"/>
    <n v="1"/>
    <n v="37601"/>
    <s v="SUMMERFIELD ELEMENTARY"/>
    <m/>
    <m/>
    <n v="636"/>
    <n v="936"/>
    <m/>
    <m/>
    <n v="936"/>
    <e v="#REF!"/>
  </r>
  <r>
    <x v="28"/>
    <n v="1"/>
    <n v="224832"/>
    <s v="SYMMES ELEMENTARY"/>
    <m/>
    <m/>
    <n v="348"/>
    <n v="619"/>
    <m/>
    <m/>
    <n v="619"/>
    <e v="#REF!"/>
  </r>
  <r>
    <x v="28"/>
    <n v="1"/>
    <n v="37720"/>
    <s v="TAMPA BAY TECH HIGH SCHOOL"/>
    <m/>
    <m/>
    <n v="1488"/>
    <n v="1990"/>
    <m/>
    <m/>
    <n v="1990"/>
    <e v="#REF!"/>
  </r>
  <r>
    <x v="28"/>
    <n v="1"/>
    <n v="37691"/>
    <s v="TAMPA BAY BOULEVARD ELEMENTARY"/>
    <m/>
    <m/>
    <n v="678"/>
    <n v="742"/>
    <m/>
    <m/>
    <n v="742"/>
    <e v="#REF!"/>
  </r>
  <r>
    <x v="28"/>
    <n v="1"/>
    <n v="16022195"/>
    <s v="RAMPELLO DOWNTOWN PARTNERSHIP"/>
    <m/>
    <m/>
    <n v="314"/>
    <n v="765"/>
    <m/>
    <m/>
    <n v="765"/>
    <e v="#REF!"/>
  </r>
  <r>
    <x v="28"/>
    <n v="1"/>
    <n v="37839"/>
    <s v="TAMPA PALMS ELEMENTARY"/>
    <m/>
    <m/>
    <n v="357"/>
    <n v="917"/>
    <m/>
    <m/>
    <n v="917"/>
    <e v="#REF!"/>
  </r>
  <r>
    <x v="28"/>
    <n v="1"/>
    <n v="37783"/>
    <s v="TEMPLE TERRACE ELEMENTARY"/>
    <m/>
    <m/>
    <n v="466"/>
    <n v="559"/>
    <m/>
    <m/>
    <n v="559"/>
    <e v="#REF!"/>
  </r>
  <r>
    <x v="28"/>
    <n v="1"/>
    <n v="37790"/>
    <s v="DOROTHY THOMAS"/>
    <m/>
    <m/>
    <n v="50"/>
    <n v="68"/>
    <m/>
    <m/>
    <n v="68"/>
    <e v="#REF!"/>
  </r>
  <r>
    <x v="28"/>
    <n v="1"/>
    <n v="227223"/>
    <s v="NORTH TAMPA ALTERNATIVE SCHOOL"/>
    <m/>
    <m/>
    <n v="113"/>
    <n v="123"/>
    <m/>
    <m/>
    <n v="123"/>
    <e v="#REF!"/>
  </r>
  <r>
    <x v="28"/>
    <n v="1"/>
    <n v="16024088"/>
    <s v="BRANDON ALTERNATIVE SCHOOL"/>
    <m/>
    <m/>
    <n v="88"/>
    <n v="98"/>
    <m/>
    <m/>
    <n v="98"/>
    <e v="#REF!"/>
  </r>
  <r>
    <x v="28"/>
    <n v="1"/>
    <n v="37623"/>
    <s v="THONOTOSASSA ELEMENTARY"/>
    <m/>
    <m/>
    <n v="318"/>
    <n v="356"/>
    <m/>
    <m/>
    <n v="356"/>
    <e v="#REF!"/>
  </r>
  <r>
    <x v="28"/>
    <n v="1"/>
    <n v="37803"/>
    <s v="TINKER K-8 SCHOOL"/>
    <m/>
    <m/>
    <n v="202"/>
    <n v="685"/>
    <m/>
    <m/>
    <n v="685"/>
    <e v="#REF!"/>
  </r>
  <r>
    <x v="28"/>
    <n v="1"/>
    <n v="37830"/>
    <s v="TOWN AND COUNTRY ELEMENTARY"/>
    <m/>
    <m/>
    <n v="377"/>
    <n v="417"/>
    <m/>
    <m/>
    <n v="417"/>
    <e v="#REF!"/>
  </r>
  <r>
    <x v="28"/>
    <n v="1"/>
    <n v="37831"/>
    <s v="WEBB MIDDLE SCHOOL"/>
    <m/>
    <m/>
    <n v="710"/>
    <n v="815"/>
    <m/>
    <m/>
    <n v="815"/>
    <e v="#REF!"/>
  </r>
  <r>
    <x v="28"/>
    <n v="1"/>
    <n v="37589"/>
    <s v="TRAPNELL ELEMENTARY"/>
    <m/>
    <m/>
    <n v="478"/>
    <n v="541"/>
    <m/>
    <m/>
    <n v="541"/>
    <e v="#REF!"/>
  </r>
  <r>
    <x v="28"/>
    <n v="1"/>
    <n v="37594"/>
    <s v="TURKEY CREEK MIDDLE SCHOOL"/>
    <m/>
    <m/>
    <n v="746"/>
    <n v="966"/>
    <m/>
    <m/>
    <n v="966"/>
    <e v="#REF!"/>
  </r>
  <r>
    <x v="28"/>
    <n v="1"/>
    <n v="37746"/>
    <s v="TWIN LAKES ELEMENTARY"/>
    <m/>
    <m/>
    <n v="615"/>
    <n v="702"/>
    <m/>
    <m/>
    <n v="702"/>
    <e v="#REF!"/>
  </r>
  <r>
    <x v="28"/>
    <n v="1"/>
    <n v="37747"/>
    <s v="CAMINITI EXCEPTIONAL CENTER"/>
    <m/>
    <m/>
    <n v="86"/>
    <n v="109"/>
    <m/>
    <m/>
    <n v="109"/>
    <e v="#REF!"/>
  </r>
  <r>
    <x v="28"/>
    <n v="1"/>
    <n v="37625"/>
    <s v="VALRICO ELEMENTARY"/>
    <m/>
    <m/>
    <n v="463"/>
    <n v="830"/>
    <m/>
    <m/>
    <n v="830"/>
    <e v="#REF!"/>
  </r>
  <r>
    <x v="28"/>
    <n v="1"/>
    <n v="37587"/>
    <s v="WALDEN LAKE ELEMENTARY"/>
    <m/>
    <m/>
    <n v="474"/>
    <n v="886"/>
    <m/>
    <m/>
    <n v="886"/>
    <e v="#REF!"/>
  </r>
  <r>
    <x v="28"/>
    <n v="1"/>
    <n v="37666"/>
    <s v="BT WASHINGTON ELEMENTARY"/>
    <m/>
    <m/>
    <n v="532"/>
    <n v="544"/>
    <m/>
    <m/>
    <n v="544"/>
    <e v="#REF!"/>
  </r>
  <r>
    <x v="28"/>
    <n v="1"/>
    <n v="37572"/>
    <s v="WALKER MIDDLE MAGNET"/>
    <m/>
    <m/>
    <n v="350"/>
    <n v="1012"/>
    <m/>
    <m/>
    <n v="1012"/>
    <e v="#REF!"/>
  </r>
  <r>
    <x v="28"/>
    <n v="1"/>
    <n v="203981"/>
    <s v="WESTCHASE ELEMENTARY"/>
    <m/>
    <m/>
    <n v="181"/>
    <n v="955"/>
    <m/>
    <m/>
    <n v="955"/>
    <e v="#REF!"/>
  </r>
  <r>
    <x v="28"/>
    <n v="1"/>
    <n v="37773"/>
    <s v="WEST SHORE ELEMENTARY"/>
    <m/>
    <m/>
    <n v="272"/>
    <n v="355"/>
    <m/>
    <m/>
    <n v="355"/>
    <e v="#REF!"/>
  </r>
  <r>
    <x v="28"/>
    <n v="1"/>
    <n v="37677"/>
    <s v="WEST TAMPA ELEMENTARY"/>
    <m/>
    <m/>
    <n v="508"/>
    <n v="530"/>
    <m/>
    <m/>
    <n v="530"/>
    <e v="#REF!"/>
  </r>
  <r>
    <x v="28"/>
    <n v="1"/>
    <n v="37840"/>
    <s v="WHARTON HIGH SCHOOL"/>
    <m/>
    <m/>
    <n v="1248"/>
    <n v="2421"/>
    <m/>
    <m/>
    <n v="2421"/>
    <e v="#REF!"/>
  </r>
  <r>
    <x v="28"/>
    <n v="1"/>
    <n v="37707"/>
    <s v="WILLIAMS MIDDLE SCHOOL"/>
    <m/>
    <m/>
    <n v="303"/>
    <n v="868"/>
    <m/>
    <m/>
    <n v="868"/>
    <e v="#REF!"/>
  </r>
  <r>
    <x v="28"/>
    <n v="1"/>
    <n v="170381"/>
    <s v="JAMES ELEMENTARY"/>
    <m/>
    <m/>
    <n v="635"/>
    <n v="645"/>
    <m/>
    <m/>
    <n v="645"/>
    <e v="#REF!"/>
  </r>
  <r>
    <x v="28"/>
    <n v="1"/>
    <n v="37672"/>
    <s v="WILSON MIDDLE SCHOOL"/>
    <m/>
    <m/>
    <n v="149"/>
    <n v="633"/>
    <m/>
    <m/>
    <n v="633"/>
    <e v="#REF!"/>
  </r>
  <r>
    <x v="28"/>
    <n v="1"/>
    <n v="37578"/>
    <s v="WILSON ELEMENTARY"/>
    <m/>
    <m/>
    <n v="361"/>
    <n v="395"/>
    <m/>
    <m/>
    <n v="395"/>
    <e v="#REF!"/>
  </r>
  <r>
    <x v="28"/>
    <n v="1"/>
    <n v="37633"/>
    <s v="WIMAUMA ELEMENTARY"/>
    <m/>
    <m/>
    <n v="557"/>
    <n v="607"/>
    <m/>
    <m/>
    <n v="607"/>
    <e v="#REF!"/>
  </r>
  <r>
    <x v="28"/>
    <n v="1"/>
    <n v="37735"/>
    <s v="WITTER ELEMENTARY"/>
    <m/>
    <m/>
    <n v="576"/>
    <n v="611"/>
    <m/>
    <m/>
    <n v="611"/>
    <e v="#REF!"/>
  </r>
  <r>
    <x v="28"/>
    <n v="1"/>
    <n v="37760"/>
    <s v="WOODBRIDGE ELEMENTARY"/>
    <m/>
    <m/>
    <n v="553"/>
    <n v="641"/>
    <m/>
    <m/>
    <n v="641"/>
    <e v="#REF!"/>
  </r>
  <r>
    <x v="28"/>
    <n v="1"/>
    <n v="37524"/>
    <s v="YATES ELEMENTARY"/>
    <m/>
    <m/>
    <n v="611"/>
    <n v="735"/>
    <m/>
    <m/>
    <n v="735"/>
    <e v="#REF!"/>
  </r>
  <r>
    <x v="28"/>
    <n v="1"/>
    <n v="37713"/>
    <s v="YOUNG MIDDLE MAGNET"/>
    <m/>
    <m/>
    <n v="498"/>
    <n v="596"/>
    <m/>
    <m/>
    <n v="596"/>
    <e v="#REF!"/>
  </r>
  <r>
    <x v="29"/>
    <n v="0.88512000000000024"/>
    <n v="35422"/>
    <s v="BETHLEHEM HIGH SCHOOL"/>
    <m/>
    <m/>
    <m/>
    <n v="482"/>
    <n v="2015"/>
    <n v="0.55320000000000003"/>
    <n v="426.62784000000005"/>
    <n v="0.88512000000000013"/>
  </r>
  <r>
    <x v="29"/>
    <n v="0.88512000000000024"/>
    <n v="35419"/>
    <s v="BONIFAY ELEMENTARY SCHOOL"/>
    <m/>
    <m/>
    <m/>
    <n v="808"/>
    <n v="2015"/>
    <n v="0.55320000000000003"/>
    <n v="715.17696000000012"/>
    <n v="0.88512000000000013"/>
  </r>
  <r>
    <x v="29"/>
    <n v="0.88512000000000024"/>
    <n v="196613"/>
    <s v="BONIFAY MIDDLE SCHOOL"/>
    <m/>
    <m/>
    <m/>
    <n v="542"/>
    <n v="2015"/>
    <n v="0.55320000000000003"/>
    <n v="479.73504000000008"/>
    <n v="0.88512000000000013"/>
  </r>
  <r>
    <x v="29"/>
    <n v="0.88512000000000024"/>
    <n v="225115"/>
    <s v="GRADUATION ASSISTANCE PROGRAM"/>
    <m/>
    <m/>
    <m/>
    <n v="26"/>
    <n v="2015"/>
    <n v="0.55320000000000003"/>
    <n v="23.013120000000004"/>
    <n v="0.88512000000000013"/>
  </r>
  <r>
    <x v="29"/>
    <n v="0.88512000000000024"/>
    <n v="35421"/>
    <s v="HOLMES COUNTY HIGH SCHOOL"/>
    <m/>
    <m/>
    <m/>
    <n v="462"/>
    <n v="2015"/>
    <n v="0.55320000000000003"/>
    <n v="408.92544000000004"/>
    <n v="0.88512000000000013"/>
  </r>
  <r>
    <x v="29"/>
    <n v="0.88512000000000024"/>
    <n v="127629"/>
    <s v="HOLMES DISTRICT OFFICE"/>
    <m/>
    <m/>
    <m/>
    <n v="0"/>
    <m/>
    <m/>
    <n v="0"/>
    <n v="0"/>
  </r>
  <r>
    <x v="29"/>
    <n v="0.88512000000000024"/>
    <n v="35460"/>
    <s v="PONCE DE LEON ELEMENTARY SCHOOL"/>
    <m/>
    <m/>
    <m/>
    <n v="304"/>
    <n v="2015"/>
    <n v="0.55320000000000003"/>
    <n v="269.07648000000006"/>
    <n v="0.88512000000000024"/>
  </r>
  <r>
    <x v="29"/>
    <n v="0.88512000000000024"/>
    <n v="35459"/>
    <s v="PONCE DE LEON HIGH SCHOOL"/>
    <m/>
    <m/>
    <m/>
    <n v="292"/>
    <n v="2015"/>
    <n v="0.55320000000000003"/>
    <n v="258.45504000000005"/>
    <n v="0.88512000000000013"/>
  </r>
  <r>
    <x v="29"/>
    <n v="0.88512000000000024"/>
    <n v="35442"/>
    <s v="POPLAR SPRINGS HIGH SCHOOL"/>
    <m/>
    <m/>
    <m/>
    <n v="383"/>
    <n v="2015"/>
    <n v="0.55320000000000003"/>
    <n v="339.00096000000008"/>
    <n v="0.88512000000000024"/>
  </r>
  <r>
    <x v="30"/>
    <n v="0.6421"/>
    <n v="36268"/>
    <s v="VERO BEACH HIGH SCHOOL"/>
    <m/>
    <s v="Vero Beach Freshman Learning Center"/>
    <n v="1533"/>
    <n v="3026"/>
    <m/>
    <m/>
    <n v="1533"/>
    <n v="0.5066093853271646"/>
  </r>
  <r>
    <x v="30"/>
    <n v="0.64214747426382568"/>
    <n v="36280"/>
    <s v="ALTERNATIVE CENTER FOR EDUCATION"/>
    <m/>
    <m/>
    <n v="46"/>
    <n v="50"/>
    <m/>
    <m/>
    <n v="46"/>
    <n v="0.92"/>
  </r>
  <r>
    <x v="30"/>
    <n v="0.64214747426382568"/>
    <n v="36266"/>
    <s v="ROSEWOOD MAGNET SCHOOL"/>
    <m/>
    <m/>
    <n v="237"/>
    <n v="555"/>
    <m/>
    <m/>
    <n v="237"/>
    <n v="0.42702702702702705"/>
  </r>
  <r>
    <x v="30"/>
    <n v="0.64214747426382568"/>
    <n v="36271"/>
    <s v="OSCEOLA MAGNET SCHOOL"/>
    <m/>
    <m/>
    <n v="238"/>
    <n v="546"/>
    <m/>
    <m/>
    <n v="238"/>
    <n v="0.4358974358974359"/>
  </r>
  <r>
    <x v="30"/>
    <n v="0.64214747426382568"/>
    <n v="36276"/>
    <s v="BEACHLAND ELEMENTARY SCHOOL"/>
    <m/>
    <m/>
    <n v="250"/>
    <n v="496"/>
    <m/>
    <m/>
    <n v="250"/>
    <n v="0.50403225806451613"/>
  </r>
  <r>
    <x v="30"/>
    <n v="0.64214747426382568"/>
    <n v="36279"/>
    <s v="GIFFORD MIDDLE SCHOOL"/>
    <m/>
    <m/>
    <n v="492"/>
    <n v="885"/>
    <m/>
    <m/>
    <n v="492"/>
    <n v="0.55593220338983051"/>
  </r>
  <r>
    <x v="30"/>
    <n v="0.64214747426382568"/>
    <n v="36237"/>
    <s v="FELLSMERE ELEMENTARY SCHOOL"/>
    <m/>
    <m/>
    <n v="557"/>
    <n v="699"/>
    <m/>
    <m/>
    <n v="557"/>
    <n v="0.79685264663805433"/>
  </r>
  <r>
    <x v="30"/>
    <n v="0.64214747426382568"/>
    <n v="36262"/>
    <s v="PELICAN ISLAND ELEMENTARY SCHOOL"/>
    <m/>
    <m/>
    <n v="351"/>
    <n v="443"/>
    <m/>
    <m/>
    <n v="351"/>
    <n v="0.79232505643340856"/>
  </r>
  <r>
    <x v="30"/>
    <n v="0.64214747426382568"/>
    <n v="36284"/>
    <s v="WABASSO SCHOOL"/>
    <m/>
    <m/>
    <n v="86"/>
    <n v="143"/>
    <m/>
    <m/>
    <n v="86"/>
    <n v="0.60139860139860135"/>
  </r>
  <r>
    <x v="30"/>
    <n v="0.64214747426382568"/>
    <n v="36283"/>
    <s v="CITRUS ELEMENTARY SCHOOL"/>
    <m/>
    <m/>
    <n v="642"/>
    <n v="789"/>
    <m/>
    <m/>
    <n v="642"/>
    <n v="0.81368821292775662"/>
  </r>
  <r>
    <x v="30"/>
    <n v="0.64214747426382568"/>
    <n v="36278"/>
    <s v="DODGERTOWN ELEMENTARY SCHOOL"/>
    <m/>
    <m/>
    <n v="463"/>
    <n v="548"/>
    <m/>
    <m/>
    <n v="463"/>
    <n v="0.8448905109489051"/>
  </r>
  <r>
    <x v="30"/>
    <n v="0.64214747426382568"/>
    <n v="36269"/>
    <s v="VERO BEACH ELEMENTARY SCHOOL"/>
    <m/>
    <m/>
    <n v="671"/>
    <n v="764"/>
    <m/>
    <m/>
    <n v="671"/>
    <n v="0.87827225130890052"/>
  </r>
  <r>
    <x v="30"/>
    <n v="0.64214747426382568"/>
    <n v="36261"/>
    <s v="SEBASTIAN RIVER MIDDLE SCHOOL"/>
    <m/>
    <m/>
    <n v="712"/>
    <n v="1000"/>
    <m/>
    <m/>
    <n v="712"/>
    <n v="0.71199999999999997"/>
  </r>
  <r>
    <x v="30"/>
    <n v="0.64214747426382568"/>
    <n v="36260"/>
    <s v="SEBASTIAN ELEMENTARY SCHOOL"/>
    <m/>
    <m/>
    <n v="411"/>
    <n v="537"/>
    <m/>
    <m/>
    <n v="411"/>
    <n v="0.76536312849162014"/>
  </r>
  <r>
    <x v="30"/>
    <n v="0.64214747426382568"/>
    <n v="36281"/>
    <s v="GLENDALE ELEMENTARY SCHOOL"/>
    <m/>
    <m/>
    <n v="488"/>
    <n v="613"/>
    <m/>
    <m/>
    <n v="488"/>
    <n v="0.79608482871125608"/>
  </r>
  <r>
    <x v="30"/>
    <n v="0.64214747426382568"/>
    <n v="36275"/>
    <s v="INDIAN RIVER ACADEMY"/>
    <m/>
    <m/>
    <n v="503"/>
    <n v="573"/>
    <m/>
    <m/>
    <n v="503"/>
    <n v="0.8778359511343804"/>
  </r>
  <r>
    <x v="30"/>
    <n v="0.64214747426382568"/>
    <n v="36272"/>
    <s v="OSLO MIDDLE SCHOOL"/>
    <m/>
    <m/>
    <n v="666"/>
    <n v="910"/>
    <m/>
    <m/>
    <n v="666"/>
    <n v="0.73186813186813182"/>
  </r>
  <r>
    <x v="30"/>
    <n v="0.64214747426382568"/>
    <n v="36263"/>
    <s v="SEBASTIAN RIVER HIGH SCHOOL"/>
    <m/>
    <m/>
    <n v="1137"/>
    <n v="1919"/>
    <m/>
    <m/>
    <n v="1137"/>
    <n v="0.59249609171443463"/>
  </r>
  <r>
    <x v="30"/>
    <n v="0.64214747426382568"/>
    <n v="234906"/>
    <s v="LIBERTY MAGNET SCHOOL"/>
    <m/>
    <m/>
    <n v="240"/>
    <n v="551"/>
    <m/>
    <m/>
    <n v="240"/>
    <n v="0.43557168784029038"/>
  </r>
  <r>
    <x v="30"/>
    <n v="0.64214747426382568"/>
    <n v="16044551"/>
    <s v="TREASURE COAST ELEMENTARY SCHOOL"/>
    <m/>
    <m/>
    <n v="483"/>
    <n v="689"/>
    <m/>
    <m/>
    <n v="483"/>
    <n v="0.70101596516690856"/>
  </r>
  <r>
    <x v="30"/>
    <n v="0.64214747426382568"/>
    <n v="16056993"/>
    <s v="STORM GROVE MIDDLE SCHOOL"/>
    <m/>
    <m/>
    <n v="523"/>
    <n v="972"/>
    <m/>
    <m/>
    <n v="523"/>
    <n v="0.5380658436213992"/>
  </r>
  <r>
    <x v="31"/>
    <n v="0.69944314185228607"/>
    <n v="35428"/>
    <s v="COTTONDALE ELEMENTARY SCHOOL"/>
    <m/>
    <m/>
    <n v="367"/>
    <n v="440"/>
    <m/>
    <m/>
    <n v="367"/>
    <n v="0.83409090909090911"/>
  </r>
  <r>
    <x v="31"/>
    <n v="0.69944314185228607"/>
    <n v="35429"/>
    <s v="COTTONDALE HIGH SCHOOL"/>
    <m/>
    <m/>
    <n v="320"/>
    <n v="459"/>
    <m/>
    <m/>
    <n v="320"/>
    <n v="0.69716775599128544"/>
  </r>
  <r>
    <x v="31"/>
    <n v="0.69944314185228607"/>
    <n v="35456"/>
    <s v="DIST WIDE HOMEBOUND PROGRAM"/>
    <m/>
    <m/>
    <m/>
    <s v="*"/>
    <m/>
    <m/>
    <n v="0"/>
    <n v="0"/>
  </r>
  <r>
    <x v="31"/>
    <n v="0.69944314185228607"/>
    <n v="35448"/>
    <s v="FRANK M. GOLSON ELEMENTARY SCHOOL"/>
    <m/>
    <m/>
    <n v="582"/>
    <n v="773"/>
    <m/>
    <m/>
    <n v="582"/>
    <n v="0.7529107373868047"/>
  </r>
  <r>
    <x v="31"/>
    <n v="0.69944314185228607"/>
    <n v="35441"/>
    <s v="GRACEVILLE ELEMENTARY SCHOOL"/>
    <m/>
    <m/>
    <n v="283"/>
    <n v="334"/>
    <m/>
    <m/>
    <n v="283"/>
    <n v="0.84730538922155685"/>
  </r>
  <r>
    <x v="31"/>
    <n v="0.69944314185228607"/>
    <n v="35440"/>
    <s v="GRACEVILLE HIGH SCHOOL"/>
    <m/>
    <m/>
    <n v="251"/>
    <n v="325"/>
    <m/>
    <m/>
    <n v="251"/>
    <n v="0.77230769230769236"/>
  </r>
  <r>
    <x v="31"/>
    <n v="0.69944314185228607"/>
    <n v="35443"/>
    <s v="GRAND RIDGE SCHOOL"/>
    <m/>
    <m/>
    <n v="476"/>
    <n v="628"/>
    <m/>
    <m/>
    <n v="476"/>
    <n v="0.7579617834394905"/>
  </r>
  <r>
    <x v="31"/>
    <n v="0.69944314185228607"/>
    <n v="35457"/>
    <s v="HOPE SCHOOL"/>
    <m/>
    <m/>
    <n v="116"/>
    <n v="148"/>
    <m/>
    <m/>
    <n v="116"/>
    <n v="0.78378378378378377"/>
  </r>
  <r>
    <x v="31"/>
    <n v="0.69944314185228607"/>
    <n v="16042430"/>
    <s v="JACKSON ALTERNATIVE SCHOOL"/>
    <m/>
    <m/>
    <n v="107"/>
    <n v="121"/>
    <m/>
    <m/>
    <n v="107"/>
    <n v="0.88429752066115708"/>
  </r>
  <r>
    <x v="31"/>
    <n v="0.69944314185228607"/>
    <n v="170506"/>
    <s v="JACKSON COUNTY EARLY CHILDHOOD CENTER"/>
    <m/>
    <m/>
    <n v="183"/>
    <n v="193"/>
    <m/>
    <m/>
    <n v="183"/>
    <n v="0.94818652849740936"/>
  </r>
  <r>
    <x v="31"/>
    <n v="0.69944314185228607"/>
    <n v="16084677"/>
    <s v="JACKSON VIRTUAL INSTRUCTION PROGRAM"/>
    <m/>
    <m/>
    <n v="5"/>
    <n v="24"/>
    <m/>
    <m/>
    <n v="5"/>
    <n v="0.20833333333333334"/>
  </r>
  <r>
    <x v="31"/>
    <n v="0.69944314185228607"/>
    <n v="35447"/>
    <s v="MALONE HIGH SCHOOL"/>
    <m/>
    <m/>
    <n v="370"/>
    <n v="523"/>
    <m/>
    <m/>
    <n v="370"/>
    <n v="0.70745697896749526"/>
  </r>
  <r>
    <x v="31"/>
    <n v="0.69944314185228607"/>
    <n v="35449"/>
    <s v="MARIANNA ADULT CENTER"/>
    <m/>
    <m/>
    <m/>
    <n v="0"/>
    <m/>
    <m/>
    <n v="0"/>
    <n v="0"/>
  </r>
  <r>
    <x v="31"/>
    <n v="0.69944314185228607"/>
    <n v="35450"/>
    <s v="MARIANNA HIGH SCHOOL"/>
    <m/>
    <m/>
    <n v="410"/>
    <n v="765"/>
    <m/>
    <m/>
    <n v="410"/>
    <n v="0.53594771241830064"/>
  </r>
  <r>
    <x v="31"/>
    <n v="0.69944314185228607"/>
    <n v="35454"/>
    <s v="MARIANNA MIDDLE SCHOOL"/>
    <m/>
    <m/>
    <n v="367"/>
    <n v="628"/>
    <m/>
    <m/>
    <n v="367"/>
    <n v="0.58439490445859876"/>
  </r>
  <r>
    <x v="31"/>
    <n v="0.69944314185228607"/>
    <n v="35451"/>
    <s v="RIVERSIDE ELEMENTARY SCHOOL"/>
    <m/>
    <m/>
    <n v="408"/>
    <n v="609"/>
    <m/>
    <m/>
    <n v="408"/>
    <n v="0.66995073891625612"/>
  </r>
  <r>
    <x v="31"/>
    <n v="0.69944314185228607"/>
    <n v="35470"/>
    <s v="SNEADS ELEMENTARY SCHOOL"/>
    <m/>
    <m/>
    <n v="310"/>
    <n v="451"/>
    <m/>
    <m/>
    <n v="310"/>
    <n v="0.68736141906873616"/>
  </r>
  <r>
    <x v="31"/>
    <n v="0.69944314185228607"/>
    <n v="35471"/>
    <s v="SNEADS HIGH SCHOOL"/>
    <m/>
    <m/>
    <n v="218"/>
    <n v="403"/>
    <m/>
    <m/>
    <n v="218"/>
    <n v="0.54094292803970223"/>
  </r>
  <r>
    <x v="32"/>
    <n v="1"/>
    <n v="17002498"/>
    <s v="JEFFERSON COUNTY ADULT SCHOOL"/>
    <m/>
    <m/>
    <m/>
    <n v="0"/>
    <m/>
    <m/>
    <n v="0"/>
    <n v="0"/>
  </r>
  <r>
    <x v="32"/>
    <n v="1"/>
    <n v="35343"/>
    <s v="JEFFERSON COUNTY ELEMENTARY SCHOOL"/>
    <m/>
    <m/>
    <m/>
    <n v="437"/>
    <n v="2015"/>
    <n v="77.260000000000005"/>
    <n v="437"/>
    <n v="1"/>
  </r>
  <r>
    <x v="32"/>
    <n v="1"/>
    <n v="212218"/>
    <s v="JEFFERSON COUNTY ESE SCHOOL"/>
    <m/>
    <m/>
    <m/>
    <s v="*"/>
    <m/>
    <m/>
    <n v="0"/>
    <n v="0"/>
  </r>
  <r>
    <x v="32"/>
    <n v="1"/>
    <n v="35341"/>
    <s v="JEFFERSON COUNTY MIDDLE/HIGH SCHOOL"/>
    <m/>
    <m/>
    <m/>
    <n v="338"/>
    <n v="2015"/>
    <n v="77.260000000000005"/>
    <n v="338"/>
    <n v="1"/>
  </r>
  <r>
    <x v="32"/>
    <n v="1"/>
    <n v="16032183"/>
    <s v="JEFFERSON DISTRICT OFFICE"/>
    <m/>
    <m/>
    <m/>
    <s v="0"/>
    <m/>
    <m/>
    <n v="0"/>
    <n v="0"/>
  </r>
  <r>
    <x v="32"/>
    <n v="1"/>
    <n v="16083534"/>
    <s v="JEFFERSON VIRTUAL INSTRUCTION PROGRAM"/>
    <m/>
    <m/>
    <m/>
    <n v="0"/>
    <m/>
    <m/>
    <n v="0"/>
    <n v="0"/>
  </r>
  <r>
    <x v="32"/>
    <n v="1"/>
    <n v="17002497"/>
    <s v="Jefferson County Transportation Office"/>
    <m/>
    <m/>
    <m/>
    <n v="0"/>
    <m/>
    <m/>
    <n v="0"/>
    <n v="0"/>
  </r>
  <r>
    <x v="32"/>
    <n v="1"/>
    <n v="17002143"/>
    <s v="Turning Point"/>
    <m/>
    <m/>
    <m/>
    <n v="21"/>
    <n v="2015"/>
    <n v="100"/>
    <n v="21"/>
    <n v="1"/>
  </r>
  <r>
    <x v="33"/>
    <n v="0.77830940988835728"/>
    <n v="34814"/>
    <s v="LAFAYETTE ELEMENTARY SCHOOL"/>
    <m/>
    <m/>
    <m/>
    <n v="623"/>
    <n v="2015"/>
    <n v="0.63890000000000002"/>
    <n v="623"/>
    <n v="1"/>
  </r>
  <r>
    <x v="33"/>
    <n v="0.77830940988835728"/>
    <n v="17004613"/>
    <s v="ADULT EDUCATION"/>
    <m/>
    <m/>
    <m/>
    <n v="14"/>
    <m/>
    <m/>
    <n v="0"/>
    <n v="0"/>
  </r>
  <r>
    <x v="33"/>
    <n v="0.77830940988835728"/>
    <n v="34813"/>
    <s v="LAFAYETTE HIGH SCHOOL"/>
    <m/>
    <m/>
    <n v="353"/>
    <n v="617"/>
    <m/>
    <m/>
    <n v="353"/>
    <n v="0.57212317666126422"/>
  </r>
  <r>
    <x v="34"/>
    <n v="0.61815783688722792"/>
    <n v="228322"/>
    <s v="ALEE ACADEMY FULL CHARTER SCHOOL"/>
    <m/>
    <m/>
    <n v="132"/>
    <n v="299"/>
    <m/>
    <m/>
    <n v="132"/>
    <n v="0.4414715719063545"/>
  </r>
  <r>
    <x v="34"/>
    <n v="0.61815783688722792"/>
    <n v="208613"/>
    <s v="ASTATULA ELEMENTARY SCHOOL"/>
    <m/>
    <m/>
    <n v="400"/>
    <n v="624"/>
    <m/>
    <m/>
    <n v="400"/>
    <n v="0.64102564102564108"/>
  </r>
  <r>
    <x v="34"/>
    <n v="0.61815783688722792"/>
    <n v="38754"/>
    <s v="BEVERLY SHORES ELEMENTARY SCHOOL"/>
    <m/>
    <m/>
    <n v="649"/>
    <n v="722"/>
    <m/>
    <m/>
    <n v="649"/>
    <n v="0.89889196675900274"/>
  </r>
  <r>
    <x v="34"/>
    <n v="0.61815783688722792"/>
    <n v="38756"/>
    <s v="CARVER MIDDLE SCHOOL"/>
    <m/>
    <m/>
    <n v="599"/>
    <n v="809"/>
    <m/>
    <m/>
    <n v="599"/>
    <n v="0.74042027194066751"/>
  </r>
  <r>
    <x v="34"/>
    <n v="0.61815783688722792"/>
    <n v="225512"/>
    <s v="CECIL GRAY MIDDLE SCHOOL"/>
    <m/>
    <m/>
    <n v="622"/>
    <n v="1019"/>
    <m/>
    <m/>
    <n v="622"/>
    <n v="0.61040235525024533"/>
  </r>
  <r>
    <x v="34"/>
    <n v="0.61815783688722792"/>
    <n v="38721"/>
    <s v="CLERMONT ELEMENTARY SCHOOL"/>
    <m/>
    <m/>
    <n v="436"/>
    <n v="559"/>
    <m/>
    <m/>
    <n v="436"/>
    <n v="0.77996422182468694"/>
  </r>
  <r>
    <x v="34"/>
    <n v="0.61815783688722792"/>
    <n v="38719"/>
    <s v="CLERMONT MIDDLE SCHOOL"/>
    <m/>
    <m/>
    <n v="431"/>
    <n v="730"/>
    <m/>
    <m/>
    <n v="431"/>
    <n v="0.59041095890410955"/>
  </r>
  <r>
    <x v="34"/>
    <n v="0.61815783688722792"/>
    <n v="38720"/>
    <s v="CYPRESS RIDGE ELEMENTARY SCHOOL"/>
    <m/>
    <m/>
    <n v="143"/>
    <n v="599"/>
    <m/>
    <m/>
    <n v="143"/>
    <n v="0.23873121869782971"/>
  </r>
  <r>
    <x v="34"/>
    <n v="0.61815783688722792"/>
    <n v="231307"/>
    <s v="EAST RIDGE HIGH SCHOOL"/>
    <m/>
    <m/>
    <n v="1158"/>
    <n v="2316"/>
    <m/>
    <m/>
    <n v="1158"/>
    <n v="0.5"/>
  </r>
  <r>
    <x v="34"/>
    <n v="0.61815783688722792"/>
    <n v="16050694"/>
    <s v="EAST RIDGE MIDDLE SCHOOL"/>
    <m/>
    <m/>
    <n v="534"/>
    <n v="1132"/>
    <m/>
    <m/>
    <n v="534"/>
    <n v="0.4717314487632509"/>
  </r>
  <r>
    <x v="34"/>
    <n v="0.61815783688722792"/>
    <n v="35854"/>
    <s v="EUSTIS ELEMENTARY SCHOOL"/>
    <m/>
    <m/>
    <n v="373"/>
    <n v="529"/>
    <m/>
    <m/>
    <n v="373"/>
    <n v="0.70510396975425327"/>
  </r>
  <r>
    <x v="34"/>
    <n v="0.61815783688722792"/>
    <n v="35856"/>
    <s v="EUSTIS HEIGHTS ELEMENTARY SCHOOL"/>
    <m/>
    <m/>
    <n v="521"/>
    <n v="589"/>
    <m/>
    <m/>
    <n v="521"/>
    <n v="0.88455008488964348"/>
  </r>
  <r>
    <x v="34"/>
    <n v="0.61815783688722792"/>
    <n v="35855"/>
    <s v="EUSTIS HIGH SCHOOL"/>
    <m/>
    <m/>
    <n v="627"/>
    <n v="1257"/>
    <m/>
    <m/>
    <n v="627"/>
    <n v="0.49880668257756561"/>
  </r>
  <r>
    <x v="34"/>
    <n v="0.61815783688722792"/>
    <n v="35862"/>
    <s v="EUSTIS MIDDLE SCHOOL"/>
    <m/>
    <m/>
    <n v="629"/>
    <n v="1000"/>
    <m/>
    <m/>
    <n v="629"/>
    <n v="0.629"/>
  </r>
  <r>
    <x v="34"/>
    <n v="0.61815783688722792"/>
    <n v="38724"/>
    <s v="FRUITLAND PARK ELEMENTARY SCHOOL"/>
    <m/>
    <m/>
    <n v="604"/>
    <n v="745"/>
    <m/>
    <m/>
    <n v="604"/>
    <n v="0.81073825503355701"/>
  </r>
  <r>
    <x v="34"/>
    <n v="0.61815783688722792"/>
    <n v="16044394"/>
    <s v="GRASSY LAKE ELEMENTARY SCHOOL"/>
    <m/>
    <m/>
    <n v="507"/>
    <n v="1023"/>
    <m/>
    <m/>
    <n v="507"/>
    <n v="0.49560117302052786"/>
  </r>
  <r>
    <x v="34"/>
    <n v="0.61815783688722792"/>
    <n v="38726"/>
    <s v="GROVELAND ELEMENTARY SCHOOL"/>
    <m/>
    <m/>
    <n v="635"/>
    <n v="822"/>
    <m/>
    <m/>
    <n v="635"/>
    <n v="0.77250608272506083"/>
  </r>
  <r>
    <x v="34"/>
    <n v="0.61815783688722792"/>
    <n v="35857"/>
    <s v="LAKE HILLS SCHOOL"/>
    <m/>
    <m/>
    <n v="129"/>
    <n v="192"/>
    <m/>
    <m/>
    <n v="129"/>
    <n v="0.671875"/>
  </r>
  <r>
    <x v="34"/>
    <n v="0.61815783688722792"/>
    <n v="16062801"/>
    <s v="LAKE MINNEOLA HIGH SCHOOL"/>
    <m/>
    <m/>
    <n v="881"/>
    <n v="1975"/>
    <m/>
    <m/>
    <n v="881"/>
    <n v="0.44607594936708861"/>
  </r>
  <r>
    <x v="34"/>
    <n v="0.61815783688722792"/>
    <n v="16081064"/>
    <s v="LAKE VIRTUAL FRANCHISE"/>
    <m/>
    <m/>
    <n v="14"/>
    <n v="91"/>
    <m/>
    <m/>
    <n v="14"/>
    <n v="0.15384615384615385"/>
  </r>
  <r>
    <x v="34"/>
    <n v="0.61815783688722792"/>
    <n v="16020590"/>
    <s v="LEESBURG ELEMENTARY SCHOOL"/>
    <m/>
    <m/>
    <n v="737"/>
    <n v="851"/>
    <m/>
    <m/>
    <n v="737"/>
    <n v="0.86603995299647474"/>
  </r>
  <r>
    <x v="34"/>
    <n v="0.61815783688722792"/>
    <n v="38761"/>
    <s v="LEESBURG HIGH SCHOOL"/>
    <m/>
    <m/>
    <n v="1099"/>
    <n v="1582"/>
    <m/>
    <m/>
    <n v="1099"/>
    <n v="0.69469026548672563"/>
  </r>
  <r>
    <x v="34"/>
    <n v="0.61815783688722792"/>
    <n v="208617"/>
    <s v="LOST LAKE ELEMENTARY SCHOOL"/>
    <m/>
    <m/>
    <n v="447"/>
    <n v="1045"/>
    <m/>
    <m/>
    <n v="447"/>
    <n v="0.42775119617224883"/>
  </r>
  <r>
    <x v="34"/>
    <n v="0.61815783688722792"/>
    <n v="38765"/>
    <s v="MASCOTTE ELEMENTARY SCHOOL"/>
    <m/>
    <m/>
    <n v="737"/>
    <n v="871"/>
    <m/>
    <m/>
    <n v="737"/>
    <n v="0.84615384615384615"/>
  </r>
  <r>
    <x v="34"/>
    <n v="0.61815783688722792"/>
    <n v="38723"/>
    <s v="MINNEOLA ELEMENTARY CONVERSION CHARTER SCHOOL"/>
    <m/>
    <m/>
    <n v="597"/>
    <n v="1055"/>
    <m/>
    <m/>
    <n v="597"/>
    <n v="0.56587677725118479"/>
  </r>
  <r>
    <x v="34"/>
    <n v="0.61815783688722792"/>
    <n v="35900"/>
    <s v="MT. DORA HIGH SCHOOL"/>
    <m/>
    <m/>
    <n v="511"/>
    <n v="1022"/>
    <m/>
    <m/>
    <n v="511"/>
    <n v="0.5"/>
  </r>
  <r>
    <x v="34"/>
    <n v="0.61815783688722792"/>
    <n v="35899"/>
    <s v="MT. DORA MIDDLE SCHOOL"/>
    <m/>
    <m/>
    <n v="437"/>
    <n v="796"/>
    <m/>
    <m/>
    <n v="437"/>
    <n v="0.54899497487437188"/>
  </r>
  <r>
    <x v="34"/>
    <n v="0.61815783688722792"/>
    <n v="38763"/>
    <s v="OAK PARK MIDDLE SCHOOL"/>
    <m/>
    <m/>
    <n v="423"/>
    <n v="493"/>
    <m/>
    <m/>
    <n v="423"/>
    <n v="0.85801217038539557"/>
  </r>
  <r>
    <x v="34"/>
    <n v="0.61815783688722792"/>
    <n v="12167512"/>
    <s v="PINE RIDGE ELEMENTARY SCHOOL"/>
    <m/>
    <m/>
    <n v="433"/>
    <n v="876"/>
    <m/>
    <m/>
    <n v="433"/>
    <n v="0.49429223744292239"/>
  </r>
  <r>
    <x v="34"/>
    <n v="0.61815783688722792"/>
    <n v="38764"/>
    <s v="RIMES EARLY LEARNING &amp; LITERACY CENTER"/>
    <m/>
    <m/>
    <n v="199"/>
    <n v="227"/>
    <m/>
    <m/>
    <n v="199"/>
    <n v="0.87665198237885467"/>
  </r>
  <r>
    <x v="34"/>
    <n v="0.61815783688722792"/>
    <n v="216322"/>
    <s v="ROUND LAKE ELEMENTARY SCHOOL"/>
    <m/>
    <m/>
    <n v="462"/>
    <n v="931"/>
    <m/>
    <m/>
    <n v="462"/>
    <n v="0.49624060150375937"/>
  </r>
  <r>
    <x v="34"/>
    <n v="0.61815783688722792"/>
    <n v="16044395"/>
    <s v="SAWGRASS BAY ELEMENTARY SCHOOL"/>
    <m/>
    <m/>
    <n v="981"/>
    <n v="1302"/>
    <m/>
    <m/>
    <n v="981"/>
    <n v="0.75345622119815669"/>
  </r>
  <r>
    <x v="34"/>
    <n v="0.61815783688722792"/>
    <n v="35864"/>
    <s v="SEMINOLE SPRINGS ELEMENTARY SCHOOL"/>
    <m/>
    <m/>
    <n v="357"/>
    <n v="546"/>
    <m/>
    <m/>
    <n v="357"/>
    <n v="0.65384615384615385"/>
  </r>
  <r>
    <x v="34"/>
    <n v="0.61815783688722792"/>
    <n v="16066727"/>
    <s v="SORRENTO ELEMENTARY"/>
    <m/>
    <m/>
    <n v="460"/>
    <n v="792"/>
    <m/>
    <m/>
    <n v="460"/>
    <n v="0.58080808080808077"/>
  </r>
  <r>
    <x v="34"/>
    <n v="0.61815783688722792"/>
    <n v="38727"/>
    <s v="SOUTH LAKE HIGH SCHOOL"/>
    <m/>
    <m/>
    <n v="950"/>
    <n v="1828"/>
    <m/>
    <m/>
    <n v="950"/>
    <n v="0.51969365426695846"/>
  </r>
  <r>
    <x v="34"/>
    <n v="0.61815783688722792"/>
    <n v="35917"/>
    <s v="SPRING CREEK CHARTER SCHOOL"/>
    <m/>
    <m/>
    <n v="509"/>
    <n v="595"/>
    <m/>
    <m/>
    <n v="509"/>
    <n v="0.85546218487394954"/>
  </r>
  <r>
    <x v="34"/>
    <n v="0.61815783688722792"/>
    <n v="35941"/>
    <s v="TAVARES ELEMENTARY SCHOOL"/>
    <m/>
    <m/>
    <n v="641"/>
    <n v="888"/>
    <m/>
    <m/>
    <n v="641"/>
    <n v="0.72184684684684686"/>
  </r>
  <r>
    <x v="34"/>
    <n v="0.61815783688722792"/>
    <n v="35940"/>
    <s v="TAVARES HIGH SCHOOL"/>
    <m/>
    <m/>
    <n v="648"/>
    <n v="1301"/>
    <m/>
    <m/>
    <n v="648"/>
    <n v="0.49807840122982322"/>
  </r>
  <r>
    <x v="34"/>
    <n v="0.61815783688722792"/>
    <n v="35943"/>
    <s v="TAVARES MIDDLE SCHOOL"/>
    <m/>
    <m/>
    <n v="669"/>
    <n v="1084"/>
    <m/>
    <m/>
    <n v="669"/>
    <n v="0.61715867158671589"/>
  </r>
  <r>
    <x v="34"/>
    <n v="0.61815783688722792"/>
    <n v="208616"/>
    <s v="THE VILLAGES ELEMENTARY"/>
    <m/>
    <m/>
    <n v="624"/>
    <n v="823"/>
    <m/>
    <m/>
    <n v="624"/>
    <n v="0.75820170109356011"/>
  </r>
  <r>
    <x v="34"/>
    <n v="0.61815783688722792"/>
    <n v="38798"/>
    <s v="TREADWAY ELEMENTARY SCHOOL"/>
    <m/>
    <m/>
    <n v="666"/>
    <n v="934"/>
    <m/>
    <m/>
    <n v="666"/>
    <n v="0.71306209850107072"/>
  </r>
  <r>
    <x v="34"/>
    <n v="0.61815783688722792"/>
    <n v="35898"/>
    <s v="TRIANGLE ELEMENTARY SCHOOL"/>
    <m/>
    <m/>
    <n v="581"/>
    <n v="702"/>
    <m/>
    <m/>
    <n v="581"/>
    <n v="0.82763532763532766"/>
  </r>
  <r>
    <x v="34"/>
    <n v="0.61815783688722792"/>
    <n v="35958"/>
    <s v="UMATILLA ELEMENTARY SCHOOL"/>
    <m/>
    <m/>
    <n v="482"/>
    <n v="644"/>
    <m/>
    <m/>
    <n v="482"/>
    <n v="0.74844720496894412"/>
  </r>
  <r>
    <x v="34"/>
    <n v="0.61815783688722792"/>
    <n v="35960"/>
    <s v="UMATILLA HIGH SCHOOL"/>
    <m/>
    <m/>
    <n v="529"/>
    <n v="857"/>
    <m/>
    <m/>
    <n v="529"/>
    <n v="0.61726954492415398"/>
  </r>
  <r>
    <x v="34"/>
    <n v="0.61815783688722792"/>
    <n v="35961"/>
    <s v="UMATILLA MIDDLE SCHOOL"/>
    <m/>
    <m/>
    <n v="418"/>
    <n v="563"/>
    <m/>
    <m/>
    <n v="418"/>
    <n v="0.74245115452930732"/>
  </r>
  <r>
    <x v="34"/>
    <n v="0.61815783688722792"/>
    <n v="208615"/>
    <s v="WINDY HILL MIDDLE SCHOOL"/>
    <m/>
    <m/>
    <n v="687"/>
    <n v="1301"/>
    <m/>
    <m/>
    <n v="687"/>
    <n v="0.52805534204458104"/>
  </r>
  <r>
    <x v="35"/>
    <n v="0.92942971581155831"/>
    <n v="38199"/>
    <s v="ALLEN PARK ELEMENTARY SCHOOL"/>
    <m/>
    <m/>
    <m/>
    <n v="936"/>
    <n v="2015"/>
    <n v="45.72"/>
    <n v="936"/>
    <n v="1"/>
  </r>
  <r>
    <x v="35"/>
    <n v="0.92942971581155831"/>
    <n v="171516"/>
    <s v="ALTERNATIVE LEARNING CENTER CENTRAL"/>
    <m/>
    <m/>
    <m/>
    <n v="126"/>
    <n v="2015"/>
    <n v="78.569999999999993"/>
    <n v="126"/>
    <n v="1"/>
  </r>
  <r>
    <x v="35"/>
    <n v="0.92942971581155831"/>
    <n v="16068505"/>
    <s v="ALTERNATIVE LEARNING CENTER WEST"/>
    <m/>
    <m/>
    <m/>
    <n v="40"/>
    <n v="2015"/>
    <n v="65"/>
    <n v="40"/>
    <n v="1"/>
  </r>
  <r>
    <x v="35"/>
    <n v="0.92942971581155831"/>
    <n v="38265"/>
    <s v="BAYSHORE ELEMENTARY SCHOOL"/>
    <m/>
    <m/>
    <m/>
    <n v="597"/>
    <n v="2015"/>
    <n v="55.77"/>
    <n v="597"/>
    <n v="1"/>
  </r>
  <r>
    <x v="35"/>
    <n v="0.92942971581155831"/>
    <n v="38378"/>
    <s v="BONITA SPRINGS ELEMENTARY SCHOOL"/>
    <m/>
    <m/>
    <m/>
    <n v="487"/>
    <n v="2015"/>
    <n v="82.34"/>
    <n v="487"/>
    <n v="1"/>
  </r>
  <r>
    <x v="35"/>
    <n v="0.92942971581155831"/>
    <n v="38376"/>
    <s v="BONITA SPRINGS MIDDLE CENTER FOR THE ARTS"/>
    <m/>
    <m/>
    <m/>
    <n v="860"/>
    <n v="2015"/>
    <n v="51.62"/>
    <n v="860"/>
    <n v="1"/>
  </r>
  <r>
    <x v="35"/>
    <n v="0.92942971581155831"/>
    <n v="38227"/>
    <s v="BUCKINGHAM EXCEPTIONAL STUDENT CENTER"/>
    <m/>
    <m/>
    <m/>
    <n v="93"/>
    <n v="2015"/>
    <n v="58.06"/>
    <n v="93"/>
    <n v="1"/>
  </r>
  <r>
    <x v="35"/>
    <n v="0.92942971581155831"/>
    <n v="38329"/>
    <s v="CALOOSA ELEMENTARY SCHOOL"/>
    <m/>
    <m/>
    <m/>
    <n v="914"/>
    <n v="2015"/>
    <n v="54.59"/>
    <n v="914"/>
    <n v="1"/>
  </r>
  <r>
    <x v="35"/>
    <n v="0.92942971581155831"/>
    <n v="38330"/>
    <s v="CALOOSA MIDDLE SCHOOL"/>
    <m/>
    <m/>
    <m/>
    <n v="880"/>
    <n v="2015"/>
    <n v="58.29"/>
    <n v="880"/>
    <n v="1"/>
  </r>
  <r>
    <x v="35"/>
    <n v="0.92942971581155831"/>
    <n v="38333"/>
    <s v="CAPE CORAL HIGH SCHOOL"/>
    <m/>
    <m/>
    <m/>
    <n v="1655"/>
    <n v="2015"/>
    <n v="41.02"/>
    <n v="1655"/>
    <n v="1"/>
  </r>
  <r>
    <x v="35"/>
    <n v="0.92942971581155831"/>
    <n v="16075195"/>
    <s v="CAPE CORAL INSTITUTE OF TECHNOLOGY"/>
    <m/>
    <m/>
    <m/>
    <n v="0"/>
    <m/>
    <m/>
    <n v="0"/>
    <n v="0"/>
  </r>
  <r>
    <x v="35"/>
    <n v="0.92942971581155831"/>
    <n v="38222"/>
    <s v="CAPE ELEMENTARY SCHOOL"/>
    <m/>
    <m/>
    <m/>
    <n v="732"/>
    <n v="2015"/>
    <n v="45.08"/>
    <n v="732"/>
    <n v="1"/>
  </r>
  <r>
    <x v="35"/>
    <n v="0.92942971581155831"/>
    <n v="16038562"/>
    <s v="CHALLENGER MIDDLE SCHOOL"/>
    <m/>
    <m/>
    <m/>
    <n v="1058"/>
    <n v="2015"/>
    <n v="45.93"/>
    <n v="1058"/>
    <n v="1"/>
  </r>
  <r>
    <x v="35"/>
    <n v="0.92942971581155831"/>
    <n v="38261"/>
    <s v="COLONIAL ELEMENTARY SCHOOL"/>
    <m/>
    <m/>
    <m/>
    <n v="790"/>
    <n v="2015"/>
    <n v="84.43"/>
    <n v="790"/>
    <n v="1"/>
  </r>
  <r>
    <x v="35"/>
    <n v="0.92942971581155831"/>
    <n v="170444"/>
    <s v="COUNTY WIDE EXCEPTIONAL CHILD PROGRAMS"/>
    <m/>
    <m/>
    <n v="15"/>
    <n v="103"/>
    <m/>
    <m/>
    <n v="15"/>
    <n v="0.14563106796116504"/>
  </r>
  <r>
    <x v="35"/>
    <n v="0.92942971581155831"/>
    <n v="38275"/>
    <s v="CYPRESS LAKE HIGH SCHOOL"/>
    <m/>
    <m/>
    <m/>
    <n v="1614"/>
    <n v="2015"/>
    <n v="42.5"/>
    <n v="1614"/>
    <n v="1"/>
  </r>
  <r>
    <x v="35"/>
    <n v="0.92942971581155831"/>
    <n v="38272"/>
    <s v="CYPRESS LAKE MIDDLE SCHOOL"/>
    <m/>
    <m/>
    <m/>
    <n v="826"/>
    <n v="2015"/>
    <n v="36.799999999999997"/>
    <n v="826"/>
    <n v="1"/>
  </r>
  <r>
    <x v="35"/>
    <n v="0.92942971581155831"/>
    <n v="38240"/>
    <s v="DIPLOMAT ELEMENTARY SCHOOL"/>
    <m/>
    <m/>
    <m/>
    <n v="924"/>
    <n v="2015"/>
    <n v="49.89"/>
    <n v="924"/>
    <n v="1"/>
  </r>
  <r>
    <x v="35"/>
    <n v="0.92942971581155831"/>
    <n v="208357"/>
    <s v="DIPLOMAT MIDDLE SCHOOL"/>
    <m/>
    <m/>
    <m/>
    <n v="842"/>
    <n v="2015"/>
    <n v="50.11"/>
    <n v="842"/>
    <n v="1"/>
  </r>
  <r>
    <x v="35"/>
    <n v="0.92942971581155831"/>
    <n v="169456"/>
    <s v="DR CARRIE D ROBINSON LITTLETON ELEMENTARY SCHOOL"/>
    <m/>
    <m/>
    <m/>
    <n v="546"/>
    <n v="2015"/>
    <n v="68.680000000000007"/>
    <n v="546"/>
    <n v="1"/>
  </r>
  <r>
    <x v="35"/>
    <n v="0.92942971581155831"/>
    <n v="227197"/>
    <s v="DUNBAR HIGH SCHOOL"/>
    <m/>
    <m/>
    <m/>
    <n v="1769"/>
    <n v="2015"/>
    <n v="62.01"/>
    <n v="1769"/>
    <n v="1"/>
  </r>
  <r>
    <x v="35"/>
    <n v="0.92942971581155831"/>
    <n v="178301"/>
    <s v="EARLY CHILDHOOD LEARNING SERVICES"/>
    <m/>
    <m/>
    <m/>
    <n v="312"/>
    <n v="2015"/>
    <n v="96.47"/>
    <n v="312"/>
    <n v="1"/>
  </r>
  <r>
    <x v="35"/>
    <n v="0.92942971581155831"/>
    <n v="16027138"/>
    <s v="EAST LEE COUNTY HIGH SCHOOL"/>
    <m/>
    <m/>
    <m/>
    <n v="1885"/>
    <n v="2015"/>
    <n v="66.2"/>
    <n v="1885"/>
    <n v="1"/>
  </r>
  <r>
    <x v="35"/>
    <n v="0.92942971581155831"/>
    <n v="38251"/>
    <s v="EDGEWOOD ACADEMY"/>
    <m/>
    <m/>
    <m/>
    <n v="526"/>
    <n v="2015"/>
    <n v="85.36"/>
    <n v="526"/>
    <n v="1"/>
  </r>
  <r>
    <x v="35"/>
    <n v="0.92942971581155831"/>
    <n v="38202"/>
    <s v="EDISON PARK CREATIVE AND EXPRESSIVE ARTS SCHOOL"/>
    <m/>
    <m/>
    <m/>
    <n v="347"/>
    <n v="2015"/>
    <n v="50.14"/>
    <n v="347"/>
    <n v="1"/>
  </r>
  <r>
    <x v="35"/>
    <n v="0.92942971581155831"/>
    <n v="38282"/>
    <s v="ESTERO HIGH SCHOOL"/>
    <m/>
    <m/>
    <n v="832"/>
    <n v="1763"/>
    <m/>
    <m/>
    <n v="832"/>
    <n v="0.47192285876347134"/>
  </r>
  <r>
    <x v="35"/>
    <n v="0.92942971581155831"/>
    <n v="38284"/>
    <s v="FORT MYERS BEACH ELEMENTARY SCHOOL"/>
    <m/>
    <m/>
    <m/>
    <n v="125"/>
    <n v="2015"/>
    <n v="49.6"/>
    <n v="125"/>
    <n v="1"/>
  </r>
  <r>
    <x v="35"/>
    <n v="0.92942971581155831"/>
    <n v="38204"/>
    <s v="FORT MYERS HIGH SCHOOL"/>
    <m/>
    <m/>
    <n v="716"/>
    <n v="1860"/>
    <m/>
    <m/>
    <n v="716"/>
    <n v="0.38494623655913979"/>
  </r>
  <r>
    <x v="35"/>
    <n v="0.92942971581155831"/>
    <n v="16075194"/>
    <s v="FORT MYERS INSTITUTE OF TECHNOLOGY"/>
    <m/>
    <m/>
    <m/>
    <n v="0"/>
    <m/>
    <m/>
    <n v="0"/>
    <n v="0"/>
  </r>
  <r>
    <x v="35"/>
    <n v="0.92942971581155831"/>
    <n v="38205"/>
    <s v="FORT MYERS MIDDLE ACADEMY"/>
    <m/>
    <m/>
    <m/>
    <n v="546"/>
    <n v="2015"/>
    <n v="77.099999999999994"/>
    <n v="546"/>
    <n v="1"/>
  </r>
  <r>
    <x v="35"/>
    <n v="0.92942971581155831"/>
    <n v="38259"/>
    <s v="FRANKLIN PARK ELEMENTARY SCHOOL"/>
    <m/>
    <m/>
    <m/>
    <n v="450"/>
    <n v="2015"/>
    <n v="89.55"/>
    <n v="450"/>
    <n v="1"/>
  </r>
  <r>
    <x v="35"/>
    <n v="0.92942971581155831"/>
    <n v="16068504"/>
    <s v="G. WEAVER HIPPS ELEMENTARY SCHOOL"/>
    <m/>
    <m/>
    <m/>
    <n v="766"/>
    <n v="2015"/>
    <n v="74.930000000000007"/>
    <n v="766"/>
    <n v="1"/>
  </r>
  <r>
    <x v="35"/>
    <n v="0.92942971581155831"/>
    <n v="38244"/>
    <s v="GATEWAY ELEMENTARY SCHOOL"/>
    <m/>
    <m/>
    <m/>
    <n v="715"/>
    <n v="2015"/>
    <n v="48.11"/>
    <n v="715"/>
    <n v="1"/>
  </r>
  <r>
    <x v="35"/>
    <n v="0.92942971581155831"/>
    <n v="38245"/>
    <s v="GULF ELEMENTARY SCHOOL"/>
    <m/>
    <m/>
    <m/>
    <n v="1043"/>
    <n v="2015"/>
    <n v="41.7"/>
    <n v="1043"/>
    <n v="1"/>
  </r>
  <r>
    <x v="35"/>
    <n v="0.92942971581155831"/>
    <n v="38246"/>
    <s v="GULF MIDDLE SCHOOL"/>
    <m/>
    <m/>
    <m/>
    <n v="804"/>
    <n v="2015"/>
    <n v="41.29"/>
    <n v="804"/>
    <n v="1"/>
  </r>
  <r>
    <x v="35"/>
    <n v="0.92942971581155831"/>
    <n v="38215"/>
    <s v="HANCOCK CREEK ELEMENTARY SCHOOL"/>
    <m/>
    <m/>
    <m/>
    <n v="847"/>
    <n v="2015"/>
    <n v="57.14"/>
    <n v="847"/>
    <n v="1"/>
  </r>
  <r>
    <x v="35"/>
    <n v="0.92942971581155831"/>
    <n v="16027133"/>
    <s v="HARNS MARSH ELEMENTARY SCHOOL"/>
    <m/>
    <m/>
    <m/>
    <n v="995"/>
    <n v="2015"/>
    <n v="76.180000000000007"/>
    <n v="995"/>
    <n v="1"/>
  </r>
  <r>
    <x v="35"/>
    <n v="0.92942971581155831"/>
    <n v="16074053"/>
    <s v="HARNS MARSH MIDDLE SCHOOL"/>
    <m/>
    <m/>
    <m/>
    <n v="1037"/>
    <n v="2015"/>
    <n v="71.260000000000005"/>
    <n v="1037"/>
    <n v="1"/>
  </r>
  <r>
    <x v="35"/>
    <n v="0.92942971581155831"/>
    <n v="16027134"/>
    <s v="HECTOR A. CAFFERATA JR ELEMENTARY SCHOOL"/>
    <m/>
    <m/>
    <m/>
    <n v="687"/>
    <n v="2015"/>
    <n v="64.19"/>
    <n v="687"/>
    <n v="1"/>
  </r>
  <r>
    <x v="35"/>
    <n v="0.92942971581155831"/>
    <n v="38237"/>
    <s v="HEIGHTS ELEMENTARY SCHOOL"/>
    <m/>
    <m/>
    <m/>
    <n v="1189"/>
    <n v="2015"/>
    <n v="43.98"/>
    <n v="1189"/>
    <n v="1"/>
  </r>
  <r>
    <x v="35"/>
    <n v="0.92942971581155831"/>
    <n v="16027145"/>
    <s v="IDA S. BAKER HIGH SCHOOL"/>
    <m/>
    <m/>
    <n v="985"/>
    <n v="1801"/>
    <m/>
    <m/>
    <n v="985"/>
    <n v="0.5469183786785119"/>
  </r>
  <r>
    <x v="35"/>
    <n v="0.92942971581155831"/>
    <n v="16045444"/>
    <s v="ISLAND COAST HIGH SCHOOL"/>
    <m/>
    <m/>
    <m/>
    <n v="1699"/>
    <n v="2015"/>
    <n v="52.03"/>
    <n v="1699"/>
    <n v="1"/>
  </r>
  <r>
    <x v="35"/>
    <n v="0.92942971581155831"/>
    <n v="38214"/>
    <s v="J. COLIN ENGLISH ELEMENTARY SCHOOL"/>
    <m/>
    <m/>
    <m/>
    <n v="495"/>
    <n v="2015"/>
    <n v="81.41"/>
    <n v="495"/>
    <n v="1"/>
  </r>
  <r>
    <x v="35"/>
    <n v="0.92942971581155831"/>
    <n v="16068508"/>
    <s v="JAMES STEPHENS INTERNATIONAL ACADEMY"/>
    <m/>
    <m/>
    <m/>
    <n v="641"/>
    <n v="2015"/>
    <n v="81.430000000000007"/>
    <n v="641"/>
    <n v="1"/>
  </r>
  <r>
    <x v="35"/>
    <n v="0.92942971581155831"/>
    <n v="205984"/>
    <s v="LEE ADOLESCENT MOTHERS PROGRAM"/>
    <m/>
    <m/>
    <m/>
    <n v="70"/>
    <n v="2015"/>
    <n v="74.28"/>
    <n v="70"/>
    <n v="1"/>
  </r>
  <r>
    <x v="35"/>
    <n v="0.92942971581155831"/>
    <n v="16084410"/>
    <s v="LEE DISTRICT OFFICE"/>
    <m/>
    <m/>
    <m/>
    <s v="0"/>
    <m/>
    <m/>
    <n v="0"/>
    <n v="0"/>
  </r>
  <r>
    <x v="35"/>
    <n v="0.92942971581155831"/>
    <n v="16068510"/>
    <s v="LEE VIRTUAL INSTRUCTION PROGRAM"/>
    <m/>
    <m/>
    <m/>
    <n v="289"/>
    <m/>
    <m/>
    <n v="0"/>
    <n v="0"/>
  </r>
  <r>
    <x v="35"/>
    <n v="0.92942971581155831"/>
    <n v="38292"/>
    <s v="LEHIGH ACRES MIDDLE SCHOOL"/>
    <m/>
    <m/>
    <m/>
    <n v="1171"/>
    <n v="2015"/>
    <n v="70.19"/>
    <n v="1171"/>
    <n v="1"/>
  </r>
  <r>
    <x v="35"/>
    <n v="0.92942971581155831"/>
    <n v="38289"/>
    <s v="LEHIGH ELEMENTARY SCHOOL"/>
    <m/>
    <m/>
    <m/>
    <n v="1180"/>
    <n v="2015"/>
    <n v="76.180000000000007"/>
    <n v="1180"/>
    <n v="1"/>
  </r>
  <r>
    <x v="35"/>
    <n v="0.92942971581155831"/>
    <n v="38316"/>
    <s v="LEHIGH SENIOR HIGH SCHOOL"/>
    <m/>
    <m/>
    <m/>
    <n v="1794"/>
    <n v="2015"/>
    <n v="54.12"/>
    <n v="1794"/>
    <n v="1"/>
  </r>
  <r>
    <x v="35"/>
    <n v="0.92942971581155831"/>
    <n v="16027137"/>
    <s v="LEXINGTON MIDDLE SCHOOL"/>
    <m/>
    <m/>
    <m/>
    <n v="1037"/>
    <n v="2015"/>
    <n v="39.630000000000003"/>
    <n v="1037"/>
    <n v="1"/>
  </r>
  <r>
    <x v="35"/>
    <n v="0.92942971581155831"/>
    <n v="16045433"/>
    <s v="MANATEE ELEMENTARY SCHOOL"/>
    <m/>
    <m/>
    <m/>
    <n v="911"/>
    <n v="2015"/>
    <n v="81"/>
    <n v="911"/>
    <n v="1"/>
  </r>
  <r>
    <x v="35"/>
    <n v="0.92942971581155831"/>
    <n v="38335"/>
    <s v="MARINER HIGH SCHOOL"/>
    <m/>
    <m/>
    <m/>
    <n v="1549"/>
    <n v="2015"/>
    <n v="43.18"/>
    <n v="1549"/>
    <n v="1"/>
  </r>
  <r>
    <x v="35"/>
    <n v="0.92942971581155831"/>
    <n v="14720737"/>
    <s v="MARINER MIDDLE SCHOOL"/>
    <m/>
    <m/>
    <m/>
    <n v="900"/>
    <n v="2015"/>
    <n v="58.55"/>
    <n v="900"/>
    <n v="1"/>
  </r>
  <r>
    <x v="35"/>
    <n v="0.92942971581155831"/>
    <n v="38290"/>
    <s v="MIRROR LAKES ELEMENTARY SCHOOL"/>
    <m/>
    <m/>
    <m/>
    <n v="1105"/>
    <n v="2015"/>
    <n v="76.28"/>
    <n v="1105"/>
    <n v="1"/>
  </r>
  <r>
    <x v="35"/>
    <n v="0.92942971581155831"/>
    <n v="38263"/>
    <s v="NORTH FORT MYERS ACADEMY FOR THE ARTS"/>
    <m/>
    <m/>
    <m/>
    <n v="1122"/>
    <n v="2015"/>
    <n v="57.48"/>
    <n v="1122"/>
    <n v="1"/>
  </r>
  <r>
    <x v="35"/>
    <n v="0.92942971581155831"/>
    <n v="38210"/>
    <s v="NORTH FORT MYERS HIGH SCHOOL"/>
    <m/>
    <m/>
    <n v="800"/>
    <n v="1668"/>
    <m/>
    <m/>
    <n v="800"/>
    <n v="0.47961630695443647"/>
  </r>
  <r>
    <x v="35"/>
    <n v="0.92942971581155831"/>
    <n v="16045442"/>
    <s v="OAK HAMMOCK MIDDLE SCHOOL"/>
    <m/>
    <m/>
    <m/>
    <n v="1167"/>
    <n v="2015"/>
    <n v="68.8"/>
    <n v="1167"/>
    <n v="1"/>
  </r>
  <r>
    <x v="35"/>
    <n v="0.92942971581155831"/>
    <n v="38228"/>
    <s v="ORANGE RIVER ELEMENTARY SCHOOL"/>
    <m/>
    <m/>
    <m/>
    <n v="808"/>
    <n v="2015"/>
    <n v="87.12"/>
    <n v="808"/>
    <n v="1"/>
  </r>
  <r>
    <x v="35"/>
    <n v="0.92942971581155831"/>
    <n v="38207"/>
    <s v="ORANGEWOOD ELEMENTARY SCHOOL"/>
    <m/>
    <m/>
    <m/>
    <n v="577"/>
    <n v="2015"/>
    <n v="68.8"/>
    <n v="577"/>
    <n v="1"/>
  </r>
  <r>
    <x v="35"/>
    <n v="0.92942971581155831"/>
    <n v="16045438"/>
    <s v="PATRIOT ELEMENTARY SCHOOL"/>
    <m/>
    <m/>
    <m/>
    <n v="667"/>
    <n v="2015"/>
    <n v="57.87"/>
    <n v="667"/>
    <n v="1"/>
  </r>
  <r>
    <x v="35"/>
    <n v="0.92942971581155831"/>
    <n v="38260"/>
    <s v="PAUL LAURENCE DUNBAR MIDDLE SCHOOL"/>
    <m/>
    <m/>
    <m/>
    <n v="859"/>
    <n v="2015"/>
    <n v="62.39"/>
    <n v="859"/>
    <n v="1"/>
  </r>
  <r>
    <x v="35"/>
    <n v="0.92942971581155831"/>
    <n v="38250"/>
    <s v="PELICAN ELEMENTARY SCHOOL"/>
    <m/>
    <m/>
    <m/>
    <n v="919"/>
    <n v="2015"/>
    <n v="49.4"/>
    <n v="919"/>
    <n v="1"/>
  </r>
  <r>
    <x v="35"/>
    <n v="0.92942971581155831"/>
    <n v="38280"/>
    <s v="PINE ISLAND ELEMENTARY SCHOOL"/>
    <m/>
    <m/>
    <m/>
    <n v="219"/>
    <n v="2015"/>
    <n v="57.07"/>
    <n v="219"/>
    <n v="1"/>
  </r>
  <r>
    <x v="35"/>
    <n v="0.92942971581155831"/>
    <n v="38283"/>
    <s v="PINEWOODS ELEMENTARY SCHOOL"/>
    <m/>
    <m/>
    <m/>
    <n v="1067"/>
    <n v="2015"/>
    <n v="36.08"/>
    <n v="1067"/>
    <n v="1"/>
  </r>
  <r>
    <x v="35"/>
    <n v="0.92942971581155831"/>
    <n v="202468"/>
    <s v="PRICE HALFWAY HOUSE"/>
    <m/>
    <m/>
    <m/>
    <n v="29"/>
    <m/>
    <m/>
    <n v="0"/>
    <n v="0"/>
  </r>
  <r>
    <x v="35"/>
    <n v="0.92942971581155831"/>
    <n v="16027126"/>
    <s v="RAY V. POTTORF ELEMENTARY SCHOOL"/>
    <m/>
    <m/>
    <m/>
    <n v="724"/>
    <n v="2015"/>
    <n v="82.87"/>
    <n v="724"/>
    <n v="1"/>
  </r>
  <r>
    <x v="35"/>
    <n v="0.92942971581155831"/>
    <n v="16027127"/>
    <s v="RAYMA C. PAGE ELEMENTARY SCHOOL"/>
    <m/>
    <m/>
    <m/>
    <n v="841"/>
    <n v="2015"/>
    <n v="44.58"/>
    <n v="841"/>
    <n v="1"/>
  </r>
  <r>
    <x v="35"/>
    <n v="0.92942971581155831"/>
    <n v="16038561"/>
    <s v="RIVER HALL ELEMENTARY SCHOOL"/>
    <m/>
    <m/>
    <m/>
    <n v="963"/>
    <n v="2015"/>
    <n v="61.47"/>
    <n v="963"/>
    <n v="1"/>
  </r>
  <r>
    <x v="35"/>
    <n v="0.92942971581155831"/>
    <n v="38226"/>
    <s v="RIVERDALE HIGH SCHOOL"/>
    <m/>
    <m/>
    <m/>
    <n v="2053"/>
    <n v="2015"/>
    <n v="40.229999999999997"/>
    <n v="2053"/>
    <n v="1"/>
  </r>
  <r>
    <x v="35"/>
    <n v="0.92942971581155831"/>
    <n v="38253"/>
    <s v="ROYAL PALM EXCEPTIONAL SCHOOL CENTER"/>
    <m/>
    <m/>
    <m/>
    <n v="125"/>
    <n v="2015"/>
    <n v="87.2"/>
    <n v="125"/>
    <n v="1"/>
  </r>
  <r>
    <x v="35"/>
    <n v="0.92942971581155831"/>
    <n v="38241"/>
    <s v="SAN CARLOS PARK ELEMENTARY SCHOOL"/>
    <m/>
    <m/>
    <m/>
    <n v="980"/>
    <n v="2015"/>
    <n v="62.55"/>
    <n v="980"/>
    <n v="1"/>
  </r>
  <r>
    <x v="35"/>
    <n v="0.92942971581155831"/>
    <n v="38332"/>
    <s v="SKYLINE ELEMENTARY SCHOOL"/>
    <m/>
    <m/>
    <m/>
    <n v="887"/>
    <n v="2015"/>
    <n v="59.75"/>
    <n v="887"/>
    <n v="1"/>
  </r>
  <r>
    <x v="35"/>
    <n v="0.92942971581155831"/>
    <n v="16027139"/>
    <s v="SOUTH FORT MYERS HIGH SCHOOL"/>
    <m/>
    <m/>
    <m/>
    <n v="2031"/>
    <n v="2015"/>
    <n v="49.82"/>
    <n v="2031"/>
    <n v="1"/>
  </r>
  <r>
    <x v="35"/>
    <n v="0.92942971581155831"/>
    <n v="202470"/>
    <s v="SOUTHWEST FLORIDA JUVENILE DETENTION CENTER"/>
    <m/>
    <m/>
    <n v="12"/>
    <n v="50"/>
    <m/>
    <m/>
    <n v="12"/>
    <n v="0.24"/>
  </r>
  <r>
    <x v="35"/>
    <n v="0.92942971581155831"/>
    <n v="212232"/>
    <s v="SOUTHWEST FLORIDA PUBLIC SERVICE ACADEMY"/>
    <m/>
    <m/>
    <m/>
    <n v="0"/>
    <m/>
    <m/>
    <n v="0"/>
    <n v="0"/>
  </r>
  <r>
    <x v="35"/>
    <n v="0.92942971581155831"/>
    <n v="38375"/>
    <s v="SPRING CREEK ELEMENTARY SCHOOL"/>
    <m/>
    <m/>
    <m/>
    <n v="750"/>
    <n v="2015"/>
    <n v="71.2"/>
    <n v="750"/>
    <n v="1"/>
  </r>
  <r>
    <x v="35"/>
    <n v="0.92942971581155831"/>
    <n v="38317"/>
    <s v="SUNSHINE ELEMENTARY SCHOOL"/>
    <m/>
    <m/>
    <m/>
    <n v="1175"/>
    <n v="2015"/>
    <n v="75.31"/>
    <n v="1175"/>
    <n v="1"/>
  </r>
  <r>
    <x v="35"/>
    <n v="0.92942971581155831"/>
    <n v="16074199"/>
    <s v="SW FL ADDICTION SERVICES-THE VINCE SMITH CENTER"/>
    <m/>
    <m/>
    <n v="4"/>
    <n v="17"/>
    <m/>
    <m/>
    <n v="4"/>
    <n v="0.23529411764705882"/>
  </r>
  <r>
    <x v="35"/>
    <n v="0.92942971581155831"/>
    <n v="38276"/>
    <s v="TANGLEWOOD ELEMENTARY SCHOOL"/>
    <m/>
    <m/>
    <m/>
    <n v="752"/>
    <n v="2015"/>
    <n v="47.87"/>
    <n v="752"/>
    <n v="1"/>
  </r>
  <r>
    <x v="35"/>
    <n v="0.92942971581155831"/>
    <n v="16077377"/>
    <s v="THE ALVA SCHOOL"/>
    <m/>
    <m/>
    <m/>
    <n v="987"/>
    <n v="2015"/>
    <n v="48.73"/>
    <n v="987"/>
    <n v="1"/>
  </r>
  <r>
    <x v="35"/>
    <n v="0.92942971581155831"/>
    <n v="38315"/>
    <s v="THE SANIBEL SCHOOL"/>
    <m/>
    <m/>
    <n v="63"/>
    <n v="325"/>
    <m/>
    <m/>
    <n v="63"/>
    <n v="0.19384615384615383"/>
  </r>
  <r>
    <x v="35"/>
    <n v="0.92942971581155831"/>
    <n v="38243"/>
    <s v="THREE OAKS ELEMENTARY SCHOOL"/>
    <m/>
    <m/>
    <n v="343"/>
    <n v="897"/>
    <m/>
    <m/>
    <n v="343"/>
    <n v="0.38238573021181715"/>
  </r>
  <r>
    <x v="35"/>
    <n v="0.92942971581155831"/>
    <n v="38242"/>
    <s v="THREE OAKS MIDDLE SCHOOL"/>
    <m/>
    <m/>
    <n v="465"/>
    <n v="983"/>
    <m/>
    <m/>
    <n v="465"/>
    <n v="0.47304170905391657"/>
  </r>
  <r>
    <x v="35"/>
    <n v="0.92942971581155831"/>
    <n v="38229"/>
    <s v="TICE ELEMENTARY SCHOOL"/>
    <m/>
    <m/>
    <m/>
    <n v="564"/>
    <n v="2015"/>
    <n v="88.82"/>
    <n v="564"/>
    <n v="1"/>
  </r>
  <r>
    <x v="35"/>
    <n v="0.92942971581155831"/>
    <n v="16074054"/>
    <s v="TORTUGA PRESERVE ELEMENTARY SCHOOL"/>
    <m/>
    <m/>
    <m/>
    <n v="938"/>
    <n v="2015"/>
    <n v="69.72"/>
    <n v="938"/>
    <n v="1"/>
  </r>
  <r>
    <x v="35"/>
    <n v="0.92942971581155831"/>
    <n v="14721810"/>
    <s v="TRAFALGAR ELEMENTARY SCHOOL"/>
    <m/>
    <m/>
    <m/>
    <n v="799"/>
    <n v="2015"/>
    <n v="35.54"/>
    <n v="799"/>
    <n v="1"/>
  </r>
  <r>
    <x v="35"/>
    <n v="0.92942971581155831"/>
    <n v="38331"/>
    <s v="TRAFALGAR MIDDLE SCHOOL"/>
    <m/>
    <m/>
    <m/>
    <n v="899"/>
    <n v="2015"/>
    <n v="33.92"/>
    <n v="899"/>
    <n v="1"/>
  </r>
  <r>
    <x v="35"/>
    <n v="0.92942971581155831"/>
    <n v="16045439"/>
    <s v="TREELINE ELEMENTARY SCHOOL"/>
    <m/>
    <m/>
    <m/>
    <n v="1022"/>
    <n v="2015"/>
    <n v="55.47"/>
    <n v="1022"/>
    <n v="1"/>
  </r>
  <r>
    <x v="35"/>
    <n v="0.92942971581155831"/>
    <n v="38211"/>
    <s v="TROPIC ISLES ELEMENTARY SCHOOL"/>
    <m/>
    <m/>
    <m/>
    <n v="956"/>
    <n v="2015"/>
    <n v="68.930000000000007"/>
    <n v="956"/>
    <n v="1"/>
  </r>
  <r>
    <x v="35"/>
    <n v="0.92942971581155831"/>
    <n v="14720792"/>
    <s v="VARSITY LAKES MIDDLE SCHOOL"/>
    <m/>
    <m/>
    <m/>
    <n v="1069"/>
    <n v="2015"/>
    <n v="61.73"/>
    <n v="1069"/>
    <n v="1"/>
  </r>
  <r>
    <x v="35"/>
    <n v="0.92942971581155831"/>
    <n v="14720755"/>
    <s v="VETERANS PARK ACADEMY FOR THE ARTS"/>
    <m/>
    <m/>
    <m/>
    <n v="1590"/>
    <n v="2015"/>
    <n v="61.82"/>
    <n v="1590"/>
    <n v="1"/>
  </r>
  <r>
    <x v="35"/>
    <n v="0.92942971581155831"/>
    <n v="38233"/>
    <s v="VILLAS ELEMENTARY SCHOOL"/>
    <m/>
    <m/>
    <m/>
    <n v="835"/>
    <n v="2015"/>
    <n v="80"/>
    <n v="835"/>
    <n v="1"/>
  </r>
  <r>
    <x v="36"/>
    <n v="0.62088482218658614"/>
    <n v="35251"/>
    <s v="AMOS P. GODBY HIGH SCHOOL"/>
    <m/>
    <m/>
    <m/>
    <n v="1273"/>
    <n v="2015"/>
    <n v="61.25"/>
    <n v="1273"/>
    <n v="1"/>
  </r>
  <r>
    <x v="36"/>
    <n v="0.62088482218658614"/>
    <n v="35287"/>
    <s v="APALACHEE ELEMENTARY SCHOOL"/>
    <m/>
    <m/>
    <m/>
    <n v="621"/>
    <n v="2015"/>
    <n v="61.25"/>
    <n v="621"/>
    <n v="1"/>
  </r>
  <r>
    <x v="36"/>
    <n v="0.62088482218658614"/>
    <n v="35250"/>
    <s v="ASTORIA PARK ELEMENTARY SCHOOL"/>
    <m/>
    <m/>
    <m/>
    <n v="591"/>
    <n v="2015"/>
    <n v="61.25"/>
    <n v="591"/>
    <n v="1"/>
  </r>
  <r>
    <x v="36"/>
    <n v="0.62088482218658614"/>
    <n v="35282"/>
    <s v="BOND ELEMENTARY SCHOOL"/>
    <m/>
    <m/>
    <m/>
    <n v="652"/>
    <n v="2015"/>
    <n v="61.25"/>
    <n v="652"/>
    <n v="1"/>
  </r>
  <r>
    <x v="36"/>
    <n v="0.62088482218658614"/>
    <n v="35291"/>
    <s v="BUCK LAKE ELEMENTARY SCHOOL"/>
    <m/>
    <m/>
    <n v="79"/>
    <n v="669"/>
    <m/>
    <m/>
    <n v="79"/>
    <n v="0.11808669656203288"/>
  </r>
  <r>
    <x v="36"/>
    <n v="0.62088482218658614"/>
    <n v="202167"/>
    <s v="CANOPY OAKS ELEMENTARY SCHOOL"/>
    <m/>
    <m/>
    <m/>
    <n v="695"/>
    <n v="2015"/>
    <n v="61.25"/>
    <n v="695"/>
    <n v="1"/>
  </r>
  <r>
    <x v="36"/>
    <n v="0.62088482218658614"/>
    <n v="35295"/>
    <s v="CHAIRES ELEMENTARY SCHOOL"/>
    <m/>
    <m/>
    <m/>
    <n v="455"/>
    <n v="2015"/>
    <n v="61.25"/>
    <n v="455"/>
    <n v="1"/>
  </r>
  <r>
    <x v="36"/>
    <n v="0.62088482218658614"/>
    <n v="35305"/>
    <s v="DEERLAKE MIDDLE SCHOOL"/>
    <m/>
    <m/>
    <n v="99"/>
    <n v="934"/>
    <m/>
    <m/>
    <n v="99"/>
    <n v="0.10599571734475374"/>
  </r>
  <r>
    <x v="36"/>
    <n v="0.62088482218658614"/>
    <n v="35268"/>
    <s v="DESOTO TRAIL ELEMENTARY SCHOOL"/>
    <m/>
    <m/>
    <n v="113"/>
    <n v="669"/>
    <m/>
    <m/>
    <n v="113"/>
    <n v="0.16890881913303438"/>
  </r>
  <r>
    <x v="36"/>
    <n v="0.62088482218658614"/>
    <n v="35274"/>
    <s v="ELIZABETH COBB MIDDLE SCHOOL"/>
    <m/>
    <m/>
    <m/>
    <n v="866"/>
    <n v="2015"/>
    <n v="61.25"/>
    <n v="866"/>
    <n v="1"/>
  </r>
  <r>
    <x v="36"/>
    <n v="0.62088482218658614"/>
    <n v="35292"/>
    <s v="FAIRVIEW MIDDLE SCHOOL"/>
    <m/>
    <m/>
    <m/>
    <n v="813"/>
    <n v="2015"/>
    <n v="61.25"/>
    <n v="813"/>
    <n v="1"/>
  </r>
  <r>
    <x v="36"/>
    <n v="0.62088482218658614"/>
    <n v="35285"/>
    <s v="FORT BRADEN SCHOOL"/>
    <m/>
    <m/>
    <m/>
    <n v="774"/>
    <n v="2015"/>
    <n v="61.25"/>
    <n v="774"/>
    <n v="1"/>
  </r>
  <r>
    <x v="36"/>
    <n v="0.62088482218658614"/>
    <n v="35243"/>
    <s v="FRANK HARTSFIELD ELEMENTARY SCHOOL"/>
    <m/>
    <m/>
    <m/>
    <n v="439"/>
    <n v="2015"/>
    <n v="61.25"/>
    <n v="439"/>
    <n v="1"/>
  </r>
  <r>
    <x v="36"/>
    <n v="0.62088482218658614"/>
    <n v="35299"/>
    <s v="GILCHRIST ELEMENTARY SCHOOL"/>
    <m/>
    <m/>
    <n v="246"/>
    <n v="1048"/>
    <m/>
    <m/>
    <n v="246"/>
    <n v="0.23473282442748092"/>
  </r>
  <r>
    <x v="36"/>
    <n v="0.62088482218658614"/>
    <n v="35259"/>
    <s v="GRETCHEN EVERHART SCHOOL"/>
    <m/>
    <m/>
    <m/>
    <n v="192"/>
    <n v="2015"/>
    <n v="61.25"/>
    <n v="192"/>
    <n v="1"/>
  </r>
  <r>
    <x v="36"/>
    <n v="0.62088482218658614"/>
    <n v="35258"/>
    <s v="GRIFFIN MIDDLE SCHOOL"/>
    <m/>
    <m/>
    <m/>
    <n v="519"/>
    <n v="2015"/>
    <n v="61.25"/>
    <n v="519"/>
    <n v="1"/>
  </r>
  <r>
    <x v="36"/>
    <n v="0.62088482218658614"/>
    <n v="35298"/>
    <s v="HAWKS RISE ELEMENTARY SCHOOL"/>
    <m/>
    <m/>
    <n v="121"/>
    <n v="850"/>
    <m/>
    <m/>
    <n v="121"/>
    <n v="0.1423529411764706"/>
  </r>
  <r>
    <x v="36"/>
    <n v="0.62088482218658614"/>
    <n v="16039116"/>
    <s v="J MICHAEL CONLEY ELEMENTARY SCHOOL AT SOUTHWOOD"/>
    <m/>
    <m/>
    <n v="279"/>
    <n v="863"/>
    <m/>
    <m/>
    <n v="279"/>
    <n v="0.32329084588644263"/>
  </r>
  <r>
    <x v="36"/>
    <n v="0.62088482218658614"/>
    <n v="35245"/>
    <s v="JAMES RICKARDS HIGH SCHOOL"/>
    <m/>
    <m/>
    <m/>
    <n v="1284"/>
    <n v="2015"/>
    <n v="61.25"/>
    <n v="1284"/>
    <n v="1"/>
  </r>
  <r>
    <x v="36"/>
    <n v="0.62088482218658614"/>
    <n v="35257"/>
    <s v="JOHN G RILEY ELEMENTARY SCHOOL"/>
    <m/>
    <m/>
    <m/>
    <n v="554"/>
    <n v="2015"/>
    <n v="61.25"/>
    <n v="554"/>
    <n v="1"/>
  </r>
  <r>
    <x v="36"/>
    <n v="0.62088482218658614"/>
    <n v="35275"/>
    <s v="KATE SULLIVAN ELEMENTARY SCHOOL"/>
    <m/>
    <m/>
    <m/>
    <n v="837"/>
    <n v="2015"/>
    <n v="61.25"/>
    <n v="837"/>
    <n v="1"/>
  </r>
  <r>
    <x v="36"/>
    <n v="0.62088482218658614"/>
    <n v="35296"/>
    <s v="KILLEARN LAKES ELEMENTARY SCHOOL"/>
    <m/>
    <m/>
    <n v="102"/>
    <n v="832"/>
    <m/>
    <m/>
    <n v="102"/>
    <n v="0.12259615384615384"/>
  </r>
  <r>
    <x v="36"/>
    <n v="0.62088482218658614"/>
    <n v="211791"/>
    <s v="LAWTON CHILES HIGH SCHOOL"/>
    <m/>
    <m/>
    <n v="141"/>
    <n v="2031"/>
    <m/>
    <m/>
    <n v="141"/>
    <n v="6.9423929098966025E-2"/>
  </r>
  <r>
    <x v="36"/>
    <n v="0.62088482218658614"/>
    <n v="192078"/>
    <s v="LEON CO JUVENILE DETENTION CENTER"/>
    <m/>
    <m/>
    <n v="6"/>
    <n v="19"/>
    <m/>
    <m/>
    <n v="6"/>
    <n v="0.31578947368421051"/>
  </r>
  <r>
    <x v="36"/>
    <n v="0.62088482218658614"/>
    <n v="17003636"/>
    <s v="LEON COUNTY JAIL"/>
    <m/>
    <m/>
    <m/>
    <s v="*"/>
    <m/>
    <m/>
    <n v="0"/>
    <n v="0"/>
  </r>
  <r>
    <x v="36"/>
    <n v="0.62088482218658614"/>
    <n v="16084496"/>
    <s v="LEON COUNTY VIRTUAL SCHOOL FRANCHISE"/>
    <m/>
    <m/>
    <n v="5"/>
    <n v="41"/>
    <m/>
    <m/>
    <n v="5"/>
    <n v="0.12195121951219512"/>
  </r>
  <r>
    <x v="36"/>
    <n v="0.62088482218658614"/>
    <n v="16039117"/>
    <s v="LEON DISTRICT OFFICE"/>
    <m/>
    <m/>
    <m/>
    <s v="0"/>
    <m/>
    <m/>
    <n v="0"/>
    <n v="0"/>
  </r>
  <r>
    <x v="36"/>
    <n v="0.62088482218658614"/>
    <n v="35272"/>
    <s v="LEON HIGH SCHOOL"/>
    <m/>
    <m/>
    <n v="557"/>
    <n v="2113"/>
    <m/>
    <m/>
    <n v="557"/>
    <n v="0.26360624704212021"/>
  </r>
  <r>
    <x v="36"/>
    <n v="0.62088482218658614"/>
    <n v="35288"/>
    <s v="LINCOLN HIGH SCHOOL"/>
    <m/>
    <m/>
    <n v="457"/>
    <n v="2092"/>
    <m/>
    <m/>
    <n v="457"/>
    <n v="0.21845124282982792"/>
  </r>
  <r>
    <x v="36"/>
    <n v="0.62088482218658614"/>
    <n v="35262"/>
    <s v="LIVELY TECHNICAL CENTER"/>
    <m/>
    <m/>
    <n v="6"/>
    <n v="26"/>
    <m/>
    <m/>
    <n v="6"/>
    <n v="0.23076923076923078"/>
  </r>
  <r>
    <x v="36"/>
    <n v="0.62088482218658614"/>
    <n v="35284"/>
    <s v="OAK RIDGE ELEMENTARY SCHOOL"/>
    <m/>
    <m/>
    <m/>
    <n v="507"/>
    <n v="2015"/>
    <n v="61.25"/>
    <n v="507"/>
    <n v="1"/>
  </r>
  <r>
    <x v="36"/>
    <n v="0.62088482218658614"/>
    <n v="205952"/>
    <s v="PACE CENTER FOR GIRLS"/>
    <m/>
    <m/>
    <m/>
    <n v="54"/>
    <m/>
    <m/>
    <n v="0"/>
    <n v="0"/>
  </r>
  <r>
    <x v="36"/>
    <n v="0.62088482218658614"/>
    <n v="35293"/>
    <s v="PACE SECONDARY SCHOOL"/>
    <m/>
    <m/>
    <m/>
    <n v="63"/>
    <n v="2015"/>
    <n v="61.25"/>
    <n v="63"/>
    <n v="1"/>
  </r>
  <r>
    <x v="36"/>
    <n v="0.62088482218658614"/>
    <n v="35281"/>
    <s v="PINEVIEW ELEMENTARY SCHOOL"/>
    <m/>
    <m/>
    <m/>
    <n v="366"/>
    <n v="2015"/>
    <n v="61.25"/>
    <n v="366"/>
    <n v="1"/>
  </r>
  <r>
    <x v="36"/>
    <n v="0.62088482218658614"/>
    <n v="35283"/>
    <s v="R. FRANK NIMS MIDDLE SCHOOL"/>
    <m/>
    <m/>
    <m/>
    <n v="442"/>
    <n v="2015"/>
    <n v="61.25"/>
    <n v="442"/>
    <n v="1"/>
  </r>
  <r>
    <x v="36"/>
    <n v="0.62088482218658614"/>
    <n v="35255"/>
    <s v="RAA MIDDLE SCHOOL"/>
    <m/>
    <m/>
    <m/>
    <n v="894"/>
    <n v="2015"/>
    <n v="61.25"/>
    <n v="894"/>
    <n v="1"/>
  </r>
  <r>
    <x v="36"/>
    <n v="0.62088482218658614"/>
    <n v="225021"/>
    <s v="ROBERTS ELEMENTARY SCHOOL"/>
    <m/>
    <m/>
    <n v="177"/>
    <n v="816"/>
    <m/>
    <m/>
    <n v="177"/>
    <n v="0.21691176470588236"/>
  </r>
  <r>
    <x v="36"/>
    <n v="0.62088482218658614"/>
    <n v="35254"/>
    <s v="RUEDIGER ELEMENTARY SCHOOL"/>
    <m/>
    <m/>
    <m/>
    <n v="494"/>
    <n v="2015"/>
    <n v="61.25"/>
    <n v="494"/>
    <n v="1"/>
  </r>
  <r>
    <x v="36"/>
    <n v="0.62088482218658614"/>
    <n v="35280"/>
    <s v="SABAL PALM ELEMENTARY SCHOOL"/>
    <m/>
    <m/>
    <m/>
    <n v="554"/>
    <n v="2015"/>
    <n v="61.25"/>
    <n v="554"/>
    <n v="1"/>
  </r>
  <r>
    <x v="36"/>
    <n v="0.62088482218658614"/>
    <n v="35256"/>
    <s v="SAIL"/>
    <m/>
    <m/>
    <m/>
    <n v="389"/>
    <n v="2015"/>
    <n v="61.25"/>
    <n v="389"/>
    <n v="1"/>
  </r>
  <r>
    <x v="36"/>
    <n v="0.62088482218658614"/>
    <n v="35302"/>
    <s v="SEALEY ELEMENTARY SCHOOL"/>
    <m/>
    <m/>
    <m/>
    <n v="509"/>
    <n v="2015"/>
    <n v="61.25"/>
    <n v="509"/>
    <n v="1"/>
  </r>
  <r>
    <x v="36"/>
    <n v="0.62088482218658614"/>
    <n v="16031060"/>
    <s v="SECOND CHANCE AT GHAZVINI LEARNING CENTER"/>
    <m/>
    <m/>
    <m/>
    <n v="75"/>
    <n v="2015"/>
    <n v="61.25"/>
    <n v="75"/>
    <n v="1"/>
  </r>
  <r>
    <x v="36"/>
    <n v="0.62088482218658614"/>
    <n v="35247"/>
    <s v="SPRINGWOOD ELEMENTARY SCHOOL"/>
    <m/>
    <m/>
    <m/>
    <n v="690"/>
    <n v="2015"/>
    <n v="61.25"/>
    <n v="690"/>
    <n v="1"/>
  </r>
  <r>
    <x v="36"/>
    <n v="0.62088482218658614"/>
    <n v="35265"/>
    <s v="SUCCESS ACADEMY AT GHAZVINI LEARNING CENTER"/>
    <m/>
    <m/>
    <m/>
    <n v="285"/>
    <n v="2015"/>
    <n v="61.25"/>
    <n v="285"/>
    <n v="1"/>
  </r>
  <r>
    <x v="36"/>
    <n v="0.62088482218658614"/>
    <n v="35286"/>
    <s v="SWIFT CREEK MIDDLE SCHOOL"/>
    <m/>
    <m/>
    <n v="170"/>
    <n v="724"/>
    <m/>
    <m/>
    <n v="170"/>
    <n v="0.23480662983425415"/>
  </r>
  <r>
    <x v="36"/>
    <n v="0.62088482218658614"/>
    <n v="35277"/>
    <s v="W T MOORE ELEMENTARY SCHOOL"/>
    <m/>
    <m/>
    <m/>
    <n v="621"/>
    <n v="2015"/>
    <n v="61.25"/>
    <n v="621"/>
    <n v="1"/>
  </r>
  <r>
    <x v="36"/>
    <n v="0.62088482218658614"/>
    <n v="16039115"/>
    <s v="WILLIAM J MONTFORD III MIDDLE SCHOOL"/>
    <m/>
    <m/>
    <n v="187"/>
    <n v="1021"/>
    <m/>
    <m/>
    <n v="187"/>
    <n v="0.1831537708129285"/>
  </r>
  <r>
    <x v="36"/>
    <n v="0.62088482218658614"/>
    <n v="35369"/>
    <s v="WOODVILLE ELEMENTARY SCHOOL"/>
    <m/>
    <m/>
    <m/>
    <n v="422"/>
    <n v="2015"/>
    <n v="61.25"/>
    <n v="422"/>
    <n v="1"/>
  </r>
  <r>
    <x v="36"/>
    <n v="0.62088482218658614"/>
    <n v="16084492"/>
    <s v="WOODVILLE MIDDLE SCHOOL OF LEADERSHIP THROUGH HISTORY AND CIVICS"/>
    <m/>
    <m/>
    <m/>
    <n v="125"/>
    <n v="2015"/>
    <n v="61.25"/>
    <n v="125"/>
    <n v="1"/>
  </r>
  <r>
    <x v="37"/>
    <n v="1"/>
    <n v="35722"/>
    <s v="BRONSON ELEMENTARY SCHOOL"/>
    <m/>
    <m/>
    <m/>
    <n v="609"/>
    <n v="2015"/>
    <n v="63.38"/>
    <n v="609"/>
    <n v="1"/>
  </r>
  <r>
    <x v="37"/>
    <n v="1"/>
    <n v="35721"/>
    <s v="BRONSON MIDDLE/HIGH SCHOOL"/>
    <m/>
    <m/>
    <m/>
    <n v="551"/>
    <n v="2015"/>
    <n v="63.38"/>
    <n v="551"/>
    <n v="1"/>
  </r>
  <r>
    <x v="37"/>
    <n v="1"/>
    <n v="35726"/>
    <s v="CEDAR KEY HIGH SCHOOL"/>
    <m/>
    <m/>
    <m/>
    <n v="266"/>
    <n v="2015"/>
    <n v="66.39"/>
    <n v="266"/>
    <n v="1"/>
  </r>
  <r>
    <x v="37"/>
    <n v="1"/>
    <n v="35730"/>
    <s v="CHIEFLAND ELEMENTARY SCHOOL"/>
    <m/>
    <m/>
    <m/>
    <n v="759"/>
    <n v="2015"/>
    <n v="59.22"/>
    <n v="759"/>
    <n v="1"/>
  </r>
  <r>
    <x v="37"/>
    <n v="1"/>
    <n v="35729"/>
    <s v="CHIEFLAND MIDDLE HIGH SCHOOL"/>
    <m/>
    <m/>
    <m/>
    <n v="790"/>
    <n v="2015"/>
    <n v="59.22"/>
    <n v="790"/>
    <n v="1"/>
  </r>
  <r>
    <x v="37"/>
    <n v="1"/>
    <n v="35780"/>
    <s v="JOYCE M. BULLOCK ELEMENTARY SCHOOL"/>
    <m/>
    <m/>
    <m/>
    <n v="563"/>
    <n v="2015"/>
    <n v="57.9"/>
    <n v="563"/>
    <n v="1"/>
  </r>
  <r>
    <x v="37"/>
    <n v="1"/>
    <n v="127659"/>
    <s v="LEVY DISTRICT OFFICE"/>
    <m/>
    <m/>
    <m/>
    <s v="0"/>
    <m/>
    <m/>
    <n v="0"/>
    <n v="0"/>
  </r>
  <r>
    <x v="37"/>
    <n v="1"/>
    <n v="35720"/>
    <s v="LEVY LEARNING ACADEMY"/>
    <m/>
    <m/>
    <m/>
    <n v="91"/>
    <n v="2015"/>
    <n v="63.38"/>
    <n v="91"/>
    <n v="1"/>
  </r>
  <r>
    <x v="37"/>
    <n v="1"/>
    <n v="16037921"/>
    <s v="NATURE COAST MIDDLE SCHOOL"/>
    <m/>
    <m/>
    <m/>
    <n v="76"/>
    <n v="2015"/>
    <n v="59.22"/>
    <n v="76"/>
    <n v="1"/>
  </r>
  <r>
    <x v="37"/>
    <n v="1"/>
    <n v="222970"/>
    <s v="WHISPERING WINDS CHARTER SCHOOL"/>
    <m/>
    <m/>
    <m/>
    <n v="107"/>
    <n v="2014"/>
    <n v="83.18"/>
    <n v="107"/>
    <n v="1"/>
  </r>
  <r>
    <x v="37"/>
    <n v="1"/>
    <n v="35781"/>
    <s v="WILLISTON ELEMENTARY SCHOOL"/>
    <m/>
    <m/>
    <m/>
    <n v="468"/>
    <n v="2015"/>
    <n v="57.9"/>
    <n v="468"/>
    <n v="1"/>
  </r>
  <r>
    <x v="37"/>
    <n v="1"/>
    <n v="35778"/>
    <s v="WILLISTON HIGH SCHOOL"/>
    <m/>
    <m/>
    <m/>
    <n v="555"/>
    <n v="2015"/>
    <n v="57.9"/>
    <n v="555"/>
    <n v="1"/>
  </r>
  <r>
    <x v="37"/>
    <n v="1"/>
    <n v="35779"/>
    <s v="WILLISTON MIDDLE SCHOOL"/>
    <m/>
    <m/>
    <m/>
    <n v="399"/>
    <n v="2015"/>
    <n v="57.9"/>
    <n v="399"/>
    <n v="1"/>
  </r>
  <r>
    <x v="37"/>
    <n v="1"/>
    <n v="38607"/>
    <s v="YANKEETOWN SCHOOL"/>
    <m/>
    <m/>
    <m/>
    <n v="207"/>
    <n v="2015"/>
    <n v="67.94"/>
    <n v="207"/>
    <n v="1"/>
  </r>
  <r>
    <x v="38"/>
    <n v="0.7856029756795424"/>
    <n v="35335"/>
    <s v="HOSFORD ELEMENTARY JUNIOR HIGH SCHOOL"/>
    <m/>
    <m/>
    <m/>
    <n v="424"/>
    <n v="2014"/>
    <n v="0.46060000000000001"/>
    <n v="312.47104000000002"/>
    <n v="0.73696000000000006"/>
  </r>
  <r>
    <x v="38"/>
    <n v="0.7856029756795424"/>
    <n v="35309"/>
    <s v="LIBERTY COUNTY ADULT SCHOOL"/>
    <m/>
    <m/>
    <m/>
    <n v="0"/>
    <n v="2015"/>
    <n v="0.42820000000000003"/>
    <n v="0"/>
    <n v="0"/>
  </r>
  <r>
    <x v="38"/>
    <n v="0.7856029756795424"/>
    <n v="35311"/>
    <s v="LIBERTY COUNTY HIGH SCHOOL"/>
    <m/>
    <m/>
    <m/>
    <n v="327"/>
    <n v="2015"/>
    <n v="0.42820000000000003"/>
    <n v="224.03424000000001"/>
    <n v="0.68512000000000006"/>
  </r>
  <r>
    <x v="38"/>
    <n v="0.7856029756795424"/>
    <n v="16020281"/>
    <s v="LIBERTY EARLY LEARNING CENTER"/>
    <m/>
    <m/>
    <m/>
    <n v="57"/>
    <n v="2015"/>
    <n v="0.57940000000000003"/>
    <n v="52.841280000000005"/>
    <n v="0.92704000000000009"/>
  </r>
  <r>
    <x v="38"/>
    <n v="0.7856029756795424"/>
    <n v="183160"/>
    <s v="LIBERTY LEARNING CENTER"/>
    <m/>
    <m/>
    <m/>
    <n v="19"/>
    <n v="2015"/>
    <n v="0.42820000000000003"/>
    <n v="13.017280000000001"/>
    <n v="0.68512000000000006"/>
  </r>
  <r>
    <x v="38"/>
    <n v="0.7856029756795424"/>
    <n v="212320"/>
    <s v="LIBERTY WILDERNESS CROSSROADS"/>
    <m/>
    <m/>
    <m/>
    <n v="39"/>
    <m/>
    <m/>
    <n v="0"/>
    <n v="0"/>
  </r>
  <r>
    <x v="38"/>
    <n v="0.7856029756795424"/>
    <n v="35312"/>
    <s v="W. R. TOLAR K-8 SCHOOL"/>
    <m/>
    <m/>
    <m/>
    <n v="532"/>
    <n v="2014"/>
    <n v="0.58260000000000001"/>
    <n v="495.90912000000003"/>
    <n v="0.9321600000000001"/>
  </r>
  <r>
    <x v="39"/>
    <n v="0.93598686910135409"/>
    <n v="233460"/>
    <s v="GREENVILLE ELEMENTARY SCHOOL"/>
    <m/>
    <m/>
    <m/>
    <n v="143"/>
    <n v="2015"/>
    <n v="0.63549999999999995"/>
    <n v="143"/>
    <n v="1"/>
  </r>
  <r>
    <x v="39"/>
    <n v="0.93598686910135409"/>
    <n v="150029"/>
    <s v="JOANN BRIDGE ACADEMY"/>
    <m/>
    <m/>
    <n v="21"/>
    <n v="22"/>
    <m/>
    <m/>
    <n v="21"/>
    <n v="0.95454545454545459"/>
  </r>
  <r>
    <x v="39"/>
    <n v="0.93598686910135409"/>
    <n v="233463"/>
    <s v="LEE ELEMENTARY SCHOOL"/>
    <m/>
    <m/>
    <m/>
    <n v="272"/>
    <n v="2015"/>
    <n v="0.63549999999999995"/>
    <n v="272"/>
    <n v="1"/>
  </r>
  <r>
    <x v="39"/>
    <n v="0.93598686910135409"/>
    <n v="233461"/>
    <s v="MADISON COUNTY CENTRAL SCHOOL"/>
    <m/>
    <m/>
    <m/>
    <n v="1196"/>
    <n v="2015"/>
    <n v="0.63549999999999995"/>
    <n v="1196"/>
    <n v="1"/>
  </r>
  <r>
    <x v="39"/>
    <n v="0.93598686910135409"/>
    <n v="226840"/>
    <s v="MADISON COUNTY EXCEL ALTERNATIVE CENTER"/>
    <m/>
    <m/>
    <m/>
    <n v="32"/>
    <n v="2015"/>
    <n v="0.63549999999999995"/>
    <n v="32"/>
    <n v="1"/>
  </r>
  <r>
    <x v="39"/>
    <n v="0.93598686910135409"/>
    <n v="35339"/>
    <s v="MADISON COUNTY HIGH SCHOOL"/>
    <m/>
    <m/>
    <n v="407"/>
    <n v="562"/>
    <m/>
    <m/>
    <n v="407"/>
    <n v="0.72419928825622781"/>
  </r>
  <r>
    <x v="39"/>
    <n v="0.93598686910135409"/>
    <n v="233462"/>
    <s v="PINETTA ELEMENTARY SCHOOL"/>
    <m/>
    <m/>
    <m/>
    <n v="210"/>
    <n v="2015"/>
    <n v="0.63549999999999995"/>
    <n v="210"/>
    <n v="1"/>
  </r>
  <r>
    <x v="40"/>
    <n v="0.64425696034711344"/>
    <n v="38436"/>
    <s v="ANNA MARIA ELEMENTARY SCHOOL"/>
    <m/>
    <m/>
    <n v="97"/>
    <n v="272"/>
    <m/>
    <m/>
    <n v="97"/>
    <n v="0.35661764705882354"/>
  </r>
  <r>
    <x v="40"/>
    <n v="0.64425696034711344"/>
    <n v="16042434"/>
    <s v="ANNIE LUCY WILLIAMS ELEMENTARY SCHOOL"/>
    <m/>
    <m/>
    <n v="319"/>
    <n v="913"/>
    <m/>
    <m/>
    <n v="319"/>
    <n v="0.3493975903614458"/>
  </r>
  <r>
    <x v="40"/>
    <n v="0.64425696034711344"/>
    <n v="16042433"/>
    <s v="B.D. GULLETT ELEMENTARY SCHOOL"/>
    <m/>
    <m/>
    <n v="291"/>
    <n v="784"/>
    <m/>
    <m/>
    <n v="291"/>
    <n v="0.37117346938775508"/>
  </r>
  <r>
    <x v="40"/>
    <n v="0.64425696034711344"/>
    <n v="38409"/>
    <s v="BALLARD ELEMENTARY SCHOOL"/>
    <m/>
    <m/>
    <m/>
    <n v="434"/>
    <n v="2015"/>
    <n v="0.68519999999999992"/>
    <n v="434"/>
    <n v="1"/>
  </r>
  <r>
    <x v="40"/>
    <n v="0.64425696034711344"/>
    <n v="38412"/>
    <s v="BAYSHORE ELEMENTARY SCHOOL"/>
    <m/>
    <m/>
    <m/>
    <n v="795"/>
    <n v="2015"/>
    <n v="0.68519999999999992"/>
    <n v="795"/>
    <n v="1"/>
  </r>
  <r>
    <x v="40"/>
    <n v="0.64425696034711344"/>
    <n v="38433"/>
    <s v="BAYSHORE HIGH SCHOOL"/>
    <m/>
    <m/>
    <m/>
    <n v="1453"/>
    <n v="2015"/>
    <n v="0.68519999999999992"/>
    <n v="1453"/>
    <n v="1"/>
  </r>
  <r>
    <x v="40"/>
    <n v="0.64425696034711344"/>
    <n v="38444"/>
    <s v="BLACKBURN ELEMENTARY SCHOOL"/>
    <m/>
    <m/>
    <m/>
    <n v="449"/>
    <n v="2015"/>
    <n v="0.68519999999999992"/>
    <n v="449"/>
    <n v="1"/>
  </r>
  <r>
    <x v="40"/>
    <n v="0.64425696034711344"/>
    <n v="38398"/>
    <s v="BLANCHE H. DAUGHTREY ELEMENTARY"/>
    <m/>
    <m/>
    <m/>
    <n v="714"/>
    <n v="2015"/>
    <n v="0.68519999999999992"/>
    <n v="714"/>
    <n v="1"/>
  </r>
  <r>
    <x v="40"/>
    <n v="0.64425696034711344"/>
    <n v="38393"/>
    <s v="BRADEN RIVER ELEMENTARY SCHOOL"/>
    <m/>
    <m/>
    <n v="245"/>
    <n v="685"/>
    <m/>
    <m/>
    <n v="245"/>
    <n v="0.35766423357664234"/>
  </r>
  <r>
    <x v="40"/>
    <n v="0.64425696034711344"/>
    <n v="16026129"/>
    <s v="BRADEN RIVER HIGH SCHOOL"/>
    <m/>
    <m/>
    <n v="778"/>
    <n v="2082"/>
    <m/>
    <m/>
    <n v="778"/>
    <n v="0.37367915465898177"/>
  </r>
  <r>
    <x v="40"/>
    <n v="0.64425696034711344"/>
    <n v="38392"/>
    <s v="BRADEN RIVER MIDDLE SCHOOL"/>
    <m/>
    <m/>
    <n v="522"/>
    <n v="995"/>
    <m/>
    <m/>
    <n v="522"/>
    <n v="0.52462311557788943"/>
  </r>
  <r>
    <x v="40"/>
    <n v="0.64425696034711344"/>
    <n v="16042436"/>
    <s v="BUFFALO CREEK MIDDLE SCHOOL"/>
    <m/>
    <m/>
    <n v="572"/>
    <n v="1033"/>
    <m/>
    <m/>
    <n v="572"/>
    <n v="0.55372700871248792"/>
  </r>
  <r>
    <x v="40"/>
    <n v="0.64425696034711344"/>
    <n v="38391"/>
    <s v="CARLOS E. HAILE MIDDLE SCHOOL"/>
    <m/>
    <m/>
    <n v="379"/>
    <n v="1078"/>
    <m/>
    <m/>
    <n v="379"/>
    <n v="0.35157699443413731"/>
  </r>
  <r>
    <x v="40"/>
    <n v="0.64425696034711344"/>
    <n v="38113"/>
    <s v="DUETTE ELEMENTARY SCHOOL"/>
    <m/>
    <m/>
    <m/>
    <n v="11"/>
    <m/>
    <m/>
    <n v="0"/>
    <n v="0"/>
  </r>
  <r>
    <x v="40"/>
    <n v="0.64425696034711344"/>
    <n v="211829"/>
    <s v="ELECTA LEE MAGNET MIDDLE SCHOOL"/>
    <m/>
    <m/>
    <m/>
    <n v="979"/>
    <n v="2015"/>
    <n v="0.68519999999999992"/>
    <n v="979"/>
    <n v="1"/>
  </r>
  <r>
    <x v="40"/>
    <n v="0.64425696034711344"/>
    <n v="38495"/>
    <s v="FLORINE J ABEL ELEMENTARY SCHOOL"/>
    <m/>
    <m/>
    <m/>
    <n v="561"/>
    <n v="2015"/>
    <n v="0.68519999999999992"/>
    <n v="561"/>
    <n v="1"/>
  </r>
  <r>
    <x v="40"/>
    <n v="0.64425696034711344"/>
    <n v="38420"/>
    <s v="FRANCES WAKELAND ELEMENTARY SCHOOL"/>
    <m/>
    <m/>
    <n v="309"/>
    <n v="534"/>
    <m/>
    <m/>
    <n v="309"/>
    <n v="0.5786516853932584"/>
  </r>
  <r>
    <x v="40"/>
    <n v="0.64425696034711344"/>
    <n v="231901"/>
    <s v="FREEDOM ELEMENTARY SCHOOL"/>
    <m/>
    <m/>
    <n v="386"/>
    <n v="791"/>
    <m/>
    <m/>
    <n v="386"/>
    <n v="0.48798988621997469"/>
  </r>
  <r>
    <x v="40"/>
    <n v="0.64425696034711344"/>
    <n v="16052169"/>
    <s v="G.D. ROGERS GARDEN ELEMENTARY"/>
    <m/>
    <m/>
    <m/>
    <n v="328"/>
    <n v="2015"/>
    <n v="0.68519999999999992"/>
    <n v="328"/>
    <n v="1"/>
  </r>
  <r>
    <x v="40"/>
    <n v="0.64425696034711344"/>
    <n v="38394"/>
    <s v="GENE WITT ELEMENTARY SCHOOL"/>
    <m/>
    <m/>
    <n v="203"/>
    <n v="721"/>
    <m/>
    <m/>
    <n v="203"/>
    <n v="0.28155339805825241"/>
  </r>
  <r>
    <x v="40"/>
    <n v="0.64425696034711344"/>
    <n v="231900"/>
    <s v="GILBERT W MCNEAL ELEMENTARY SCHOOL"/>
    <m/>
    <m/>
    <n v="175"/>
    <n v="771"/>
    <m/>
    <m/>
    <n v="175"/>
    <n v="0.22697795071335927"/>
  </r>
  <r>
    <x v="40"/>
    <n v="0.64425696034711344"/>
    <n v="38426"/>
    <s v="H. S. MOODY ELEMENTARY SCHOOL"/>
    <m/>
    <m/>
    <m/>
    <n v="640"/>
    <n v="2015"/>
    <n v="0.68519999999999992"/>
    <n v="640"/>
    <n v="1"/>
  </r>
  <r>
    <x v="40"/>
    <n v="0.64425696034711344"/>
    <n v="222027"/>
    <s v="HORIZONS ACADEMY"/>
    <m/>
    <m/>
    <m/>
    <n v="525"/>
    <n v="2015"/>
    <n v="0.68519999999999992"/>
    <n v="525"/>
    <n v="1"/>
  </r>
  <r>
    <x v="40"/>
    <n v="0.64425696034711344"/>
    <n v="228328"/>
    <s v="HORIZONS ACADEMY"/>
    <m/>
    <m/>
    <m/>
    <n v="0"/>
    <m/>
    <m/>
    <n v="0"/>
    <n v="0"/>
  </r>
  <r>
    <x v="40"/>
    <n v="0.64425696034711344"/>
    <n v="38431"/>
    <s v="IDA M. STEWART ELEMENTARY SCHOOL"/>
    <m/>
    <m/>
    <n v="171"/>
    <n v="410"/>
    <m/>
    <m/>
    <n v="171"/>
    <n v="0.4170731707317073"/>
  </r>
  <r>
    <x v="40"/>
    <n v="0.64425696034711344"/>
    <n v="38438"/>
    <s v="JAMES TILLMAN ELEMENTARY MAGNET SCHOOL"/>
    <m/>
    <m/>
    <m/>
    <n v="568"/>
    <n v="2015"/>
    <n v="0.68519999999999992"/>
    <n v="568"/>
    <n v="1"/>
  </r>
  <r>
    <x v="40"/>
    <n v="0.64425696034711344"/>
    <n v="38402"/>
    <s v="JESSIE P. MILLER ELEMENTARY SCHOOL"/>
    <m/>
    <m/>
    <n v="526"/>
    <n v="814"/>
    <m/>
    <m/>
    <n v="526"/>
    <n v="0.64619164619164615"/>
  </r>
  <r>
    <x v="40"/>
    <n v="0.64425696034711344"/>
    <n v="213241"/>
    <s v="JUVENILE DETENTION CENTER"/>
    <m/>
    <m/>
    <n v="8"/>
    <n v="38"/>
    <m/>
    <m/>
    <n v="8"/>
    <n v="0.21052631578947367"/>
  </r>
  <r>
    <x v="40"/>
    <n v="0.64425696034711344"/>
    <n v="211831"/>
    <s v="KINNAN ELEMENTARY SCHOOL"/>
    <m/>
    <m/>
    <n v="384"/>
    <n v="584"/>
    <m/>
    <m/>
    <n v="384"/>
    <n v="0.65753424657534243"/>
  </r>
  <r>
    <x v="40"/>
    <n v="0.64425696034711344"/>
    <n v="195657"/>
    <s v="LAKEWOOD RANCH HIGH SCHOOL"/>
    <m/>
    <m/>
    <n v="592"/>
    <n v="2340"/>
    <m/>
    <m/>
    <n v="592"/>
    <n v="0.25299145299145298"/>
  </r>
  <r>
    <x v="40"/>
    <n v="0.64425696034711344"/>
    <n v="38440"/>
    <s v="LINCOLN MIDDLE SCHOOL"/>
    <m/>
    <m/>
    <m/>
    <n v="537"/>
    <n v="2015"/>
    <n v="0.68519999999999992"/>
    <n v="537"/>
    <n v="1"/>
  </r>
  <r>
    <x v="40"/>
    <n v="0.64425696034711344"/>
    <n v="38421"/>
    <s v="LOUISE R. JOHNSON MIDDLE SCHOOL"/>
    <m/>
    <m/>
    <n v="312"/>
    <n v="492"/>
    <m/>
    <m/>
    <n v="312"/>
    <n v="0.63414634146341464"/>
  </r>
  <r>
    <x v="40"/>
    <n v="0.64425696034711344"/>
    <n v="127848"/>
    <s v="MANATEE COUNTY SCHOOL DISTRICT"/>
    <m/>
    <m/>
    <m/>
    <n v="0"/>
    <m/>
    <m/>
    <n v="0"/>
    <n v="0"/>
  </r>
  <r>
    <x v="40"/>
    <n v="0.64425696034711344"/>
    <n v="16062540"/>
    <s v="MANATEE COUNTY SD ADMIN CENTER"/>
    <m/>
    <m/>
    <m/>
    <n v="0"/>
    <m/>
    <m/>
    <n v="0"/>
    <n v="0"/>
  </r>
  <r>
    <x v="40"/>
    <n v="0.64425696034711344"/>
    <n v="38415"/>
    <s v="MANATEE ELEMENTARY SCHOOL"/>
    <m/>
    <m/>
    <m/>
    <n v="521"/>
    <n v="2015"/>
    <n v="0.68519999999999992"/>
    <n v="521"/>
    <n v="1"/>
  </r>
  <r>
    <x v="40"/>
    <n v="0.64425696034711344"/>
    <n v="38422"/>
    <s v="MANATEE HIGH SCHOOL"/>
    <m/>
    <m/>
    <n v="1234"/>
    <n v="2349"/>
    <m/>
    <m/>
    <n v="1234"/>
    <n v="0.52532992762877817"/>
  </r>
  <r>
    <x v="40"/>
    <n v="0.64425696034711344"/>
    <n v="16068457"/>
    <s v="MANATEE TECHNICAL INSTITUTE"/>
    <m/>
    <m/>
    <m/>
    <n v="0"/>
    <m/>
    <m/>
    <n v="0"/>
    <n v="0"/>
  </r>
  <r>
    <x v="40"/>
    <n v="0.64425696034711344"/>
    <n v="38429"/>
    <s v="MARTHA B. KING MIDDLE SCHOOL"/>
    <m/>
    <m/>
    <n v="727"/>
    <n v="1098"/>
    <m/>
    <m/>
    <n v="727"/>
    <n v="0.66211293260473592"/>
  </r>
  <r>
    <x v="40"/>
    <n v="0.64425696034711344"/>
    <n v="16030620"/>
    <s v="MATZKE COMPLEX-FOOD SERVICE DEPARTMENT"/>
    <m/>
    <m/>
    <m/>
    <n v="0"/>
    <m/>
    <m/>
    <n v="0"/>
    <n v="0"/>
  </r>
  <r>
    <x v="40"/>
    <n v="0.64425696034711344"/>
    <n v="16030617"/>
    <s v="MATZKE COMPLEX-MAINTENANCE AND TRANSPORTATION"/>
    <m/>
    <m/>
    <m/>
    <n v="0"/>
    <m/>
    <m/>
    <n v="0"/>
    <n v="0"/>
  </r>
  <r>
    <x v="40"/>
    <n v="0.64425696034711344"/>
    <n v="16030619"/>
    <s v="MATZKE COMPLEX-WAREHOUSE, PURCHASING AND CONSTRUCTION SERVICES"/>
    <m/>
    <m/>
    <m/>
    <n v="0"/>
    <m/>
    <m/>
    <n v="0"/>
    <n v="0"/>
  </r>
  <r>
    <x v="40"/>
    <n v="0.64425696034711344"/>
    <n v="38496"/>
    <s v="MYAKKA CITY ELEMENTARY SCHOOL"/>
    <m/>
    <m/>
    <n v="181"/>
    <n v="252"/>
    <m/>
    <m/>
    <n v="181"/>
    <n v="0.71825396825396826"/>
  </r>
  <r>
    <x v="40"/>
    <n v="0.64425696034711344"/>
    <n v="38396"/>
    <s v="ONECO ELEMENTARY SCHOOL"/>
    <m/>
    <m/>
    <m/>
    <n v="574"/>
    <n v="2015"/>
    <n v="0.68519999999999992"/>
    <n v="574"/>
    <n v="1"/>
  </r>
  <r>
    <x v="40"/>
    <n v="0.64425696034711344"/>
    <n v="38411"/>
    <s v="ORANGE RIDGE-BULLOCK ELEMENTARY"/>
    <m/>
    <m/>
    <m/>
    <n v="721"/>
    <n v="2015"/>
    <n v="0.68519999999999992"/>
    <n v="721"/>
    <n v="1"/>
  </r>
  <r>
    <x v="40"/>
    <n v="0.64425696034711344"/>
    <n v="38443"/>
    <s v="PALM VIEW ELEMENTARY SCHOOL"/>
    <m/>
    <m/>
    <m/>
    <n v="354"/>
    <n v="2015"/>
    <n v="0.68519999999999992"/>
    <n v="354"/>
    <n v="1"/>
  </r>
  <r>
    <x v="40"/>
    <n v="0.64425696034711344"/>
    <n v="38423"/>
    <s v="PALMA SOLA ELEMENTARY SCHOOL"/>
    <m/>
    <m/>
    <n v="342"/>
    <n v="591"/>
    <m/>
    <m/>
    <n v="342"/>
    <n v="0.57868020304568524"/>
  </r>
  <r>
    <x v="40"/>
    <n v="0.64425696034711344"/>
    <n v="38442"/>
    <s v="PALMETTO ELEMENTARY SCHOOL"/>
    <m/>
    <m/>
    <m/>
    <n v="693"/>
    <n v="2015"/>
    <n v="0.68519999999999992"/>
    <n v="693"/>
    <n v="1"/>
  </r>
  <r>
    <x v="40"/>
    <n v="0.64425696034711344"/>
    <n v="38439"/>
    <s v="PALMETTO HIGH SCHOOL"/>
    <m/>
    <m/>
    <n v="1250"/>
    <n v="2111"/>
    <m/>
    <m/>
    <n v="1250"/>
    <n v="0.59213642823306489"/>
  </r>
  <r>
    <x v="40"/>
    <n v="0.64425696034711344"/>
    <n v="16030622"/>
    <s v="PARENT INFORMATION CENTER"/>
    <m/>
    <m/>
    <m/>
    <n v="0"/>
    <m/>
    <m/>
    <n v="0"/>
    <n v="0"/>
  </r>
  <r>
    <x v="40"/>
    <n v="0.64425696034711344"/>
    <n v="16021968"/>
    <s v="R. DAN NOLAN MIDDLE SCHOOL"/>
    <m/>
    <m/>
    <n v="282"/>
    <n v="1146"/>
    <m/>
    <m/>
    <n v="282"/>
    <n v="0.24607329842931938"/>
  </r>
  <r>
    <x v="40"/>
    <n v="0.64425696034711344"/>
    <n v="38404"/>
    <s v="ROBERT H. PRINE ELEMENTARY SCHOOL"/>
    <m/>
    <m/>
    <m/>
    <n v="792"/>
    <n v="2015"/>
    <n v="0.68519999999999992"/>
    <n v="792"/>
    <n v="1"/>
  </r>
  <r>
    <x v="40"/>
    <n v="0.64425696034711344"/>
    <n v="16031154"/>
    <s v="ROBERT WILLIS ELEMENTARY SCHOOL"/>
    <m/>
    <m/>
    <n v="147"/>
    <n v="746"/>
    <m/>
    <m/>
    <n v="147"/>
    <n v="0.1970509383378016"/>
  </r>
  <r>
    <x v="40"/>
    <n v="0.64425696034711344"/>
    <n v="38417"/>
    <s v="SAMOSET ELEMENTARY SCHOOL"/>
    <m/>
    <m/>
    <m/>
    <n v="516"/>
    <n v="2015"/>
    <n v="0.68519999999999992"/>
    <n v="516"/>
    <n v="1"/>
  </r>
  <r>
    <x v="40"/>
    <n v="0.64425696034711344"/>
    <n v="38399"/>
    <s v="SARA SCOTT HARLLEE MIDDLE SCHOOL"/>
    <m/>
    <m/>
    <m/>
    <n v="443"/>
    <n v="2015"/>
    <n v="0.68519999999999992"/>
    <n v="443"/>
    <n v="1"/>
  </r>
  <r>
    <x v="40"/>
    <n v="0.64425696034711344"/>
    <n v="38403"/>
    <s v="SEA BREEZE ELEMENTARY SCHOOL"/>
    <m/>
    <m/>
    <m/>
    <n v="596"/>
    <n v="2015"/>
    <n v="0.68519999999999992"/>
    <n v="596"/>
    <n v="1"/>
  </r>
  <r>
    <x v="40"/>
    <n v="0.64425696034711344"/>
    <n v="38418"/>
    <s v="SOUTHEAST HIGH SCHOOL"/>
    <m/>
    <m/>
    <n v="1097"/>
    <n v="1551"/>
    <m/>
    <m/>
    <n v="1097"/>
    <n v="0.70728562217923918"/>
  </r>
  <r>
    <x v="40"/>
    <n v="0.64425696034711344"/>
    <n v="38400"/>
    <s v="TARA ELEMENTARY SCHOOL"/>
    <m/>
    <m/>
    <n v="368"/>
    <n v="641"/>
    <m/>
    <m/>
    <n v="368"/>
    <n v="0.57410296411856476"/>
  </r>
  <r>
    <x v="40"/>
    <n v="0.64425696034711344"/>
    <n v="16045070"/>
    <s v="THE PROFESSIONAL SUPPORT CENTER"/>
    <m/>
    <m/>
    <m/>
    <n v="0"/>
    <m/>
    <m/>
    <n v="0"/>
    <n v="0"/>
  </r>
  <r>
    <x v="40"/>
    <n v="0.64425696034711344"/>
    <n v="16021965"/>
    <s v="VIRGIL MILLS ELEMENTARY SCHOOL"/>
    <m/>
    <m/>
    <n v="529"/>
    <n v="1183"/>
    <m/>
    <m/>
    <n v="529"/>
    <n v="0.44716821639898563"/>
  </r>
  <r>
    <x v="40"/>
    <n v="0.64425696034711344"/>
    <n v="38427"/>
    <s v="W. D. SUGG MIDDLE SCHOOL"/>
    <m/>
    <m/>
    <m/>
    <n v="706"/>
    <n v="2015"/>
    <n v="0.68519999999999992"/>
    <n v="706"/>
    <n v="1"/>
  </r>
  <r>
    <x v="40"/>
    <n v="0.64425696034711344"/>
    <n v="38419"/>
    <s v="WILLIAM H. BASHAW ELEMENTARY"/>
    <m/>
    <m/>
    <n v="402"/>
    <n v="570"/>
    <m/>
    <m/>
    <n v="402"/>
    <n v="0.70526315789473681"/>
  </r>
  <r>
    <x v="41"/>
    <n v="0.8240543389155639"/>
    <n v="35713"/>
    <s v="ANTHONY ELEMENTARY SCHOOL"/>
    <m/>
    <m/>
    <m/>
    <n v="383"/>
    <n v="2014"/>
    <n v="66.72"/>
    <n v="383"/>
    <n v="1"/>
  </r>
  <r>
    <x v="41"/>
    <n v="0.8240543389155639"/>
    <n v="16082870"/>
    <s v="ARC BIRTH-22"/>
    <m/>
    <m/>
    <n v="2"/>
    <n v="39"/>
    <m/>
    <m/>
    <n v="2"/>
    <n v="5.128205128205128E-2"/>
  </r>
  <r>
    <x v="41"/>
    <n v="0.8240543389155639"/>
    <n v="38520"/>
    <s v="BELLEVIEW ELEMENTARY SCHOOL"/>
    <m/>
    <m/>
    <m/>
    <n v="647"/>
    <n v="2014"/>
    <n v="66.72"/>
    <n v="647"/>
    <n v="1"/>
  </r>
  <r>
    <x v="41"/>
    <n v="0.8240543389155639"/>
    <n v="38518"/>
    <s v="BELLEVIEW HIGH SCHOOL"/>
    <m/>
    <m/>
    <n v="986"/>
    <n v="1576"/>
    <m/>
    <m/>
    <n v="986"/>
    <n v="0.62563451776649748"/>
  </r>
  <r>
    <x v="41"/>
    <n v="0.8240543389155639"/>
    <n v="38519"/>
    <s v="BELLEVIEW MIDDLE SCHOOL"/>
    <m/>
    <m/>
    <n v="735"/>
    <n v="1026"/>
    <m/>
    <m/>
    <n v="735"/>
    <n v="0.716374269005848"/>
  </r>
  <r>
    <x v="41"/>
    <n v="0.8240543389155639"/>
    <n v="38522"/>
    <s v="BELLEVIEW-SANTOS ELEMENTARY SCHOOL"/>
    <m/>
    <m/>
    <m/>
    <n v="540"/>
    <n v="2014"/>
    <n v="66.72"/>
    <n v="540"/>
    <n v="1"/>
  </r>
  <r>
    <x v="41"/>
    <n v="0.8240543389155639"/>
    <n v="16082822"/>
    <s v="CATAPULT ACADEMY"/>
    <m/>
    <m/>
    <n v="142"/>
    <n v="210"/>
    <m/>
    <m/>
    <n v="142"/>
    <n v="0.67619047619047623"/>
  </r>
  <r>
    <x v="41"/>
    <n v="0.8240543389155639"/>
    <n v="38584"/>
    <s v="COLLEGE PARK ELEMENTARY SCHOOL"/>
    <m/>
    <m/>
    <m/>
    <n v="825"/>
    <n v="2014"/>
    <n v="66.72"/>
    <n v="825"/>
    <n v="1"/>
  </r>
  <r>
    <x v="41"/>
    <n v="0.8240543389155639"/>
    <n v="228340"/>
    <s v="COMMUNITY TECHNICAL &amp; ADULT EDUCATION CENTER"/>
    <m/>
    <m/>
    <n v="10"/>
    <n v="15"/>
    <m/>
    <m/>
    <n v="10"/>
    <n v="0.66666666666666663"/>
  </r>
  <r>
    <x v="41"/>
    <n v="0.8240543389155639"/>
    <n v="38585"/>
    <s v="DR N H JONES ELEMENTARY SCHOOL"/>
    <m/>
    <m/>
    <m/>
    <n v="646"/>
    <n v="2014"/>
    <n v="66.72"/>
    <n v="646"/>
    <n v="1"/>
  </r>
  <r>
    <x v="41"/>
    <n v="0.8240543389155639"/>
    <n v="38534"/>
    <s v="DUNNELLON ELEMENTARY SCHOOL"/>
    <m/>
    <m/>
    <m/>
    <n v="582"/>
    <n v="2014"/>
    <n v="66.72"/>
    <n v="582"/>
    <n v="1"/>
  </r>
  <r>
    <x v="41"/>
    <n v="0.8240543389155639"/>
    <n v="38533"/>
    <s v="DUNNELLON HIGH SCHOOL"/>
    <m/>
    <m/>
    <n v="799"/>
    <n v="1126"/>
    <m/>
    <m/>
    <n v="799"/>
    <n v="0.70959147424511548"/>
  </r>
  <r>
    <x v="41"/>
    <n v="0.8240543389155639"/>
    <n v="38532"/>
    <s v="DUNNELLON MIDDLE SCHOOL"/>
    <m/>
    <m/>
    <n v="491"/>
    <n v="626"/>
    <m/>
    <m/>
    <n v="491"/>
    <n v="0.78434504792332271"/>
  </r>
  <r>
    <x v="41"/>
    <n v="0.8240543389155639"/>
    <n v="38601"/>
    <s v="EAST MARION ELEMENTARY SCHOOL"/>
    <m/>
    <m/>
    <m/>
    <n v="666"/>
    <n v="2014"/>
    <n v="66.72"/>
    <n v="666"/>
    <n v="1"/>
  </r>
  <r>
    <x v="41"/>
    <n v="0.8240543389155639"/>
    <n v="38570"/>
    <s v="EIGHTH STREET ELEMENTARY SCHOOL"/>
    <m/>
    <m/>
    <m/>
    <n v="388"/>
    <n v="2014"/>
    <n v="66.72"/>
    <n v="388"/>
    <n v="1"/>
  </r>
  <r>
    <x v="41"/>
    <n v="0.8240543389155639"/>
    <n v="38580"/>
    <s v="EMERALD SHORES ELEMENTARY SCHOOL"/>
    <m/>
    <m/>
    <m/>
    <n v="589"/>
    <n v="2014"/>
    <n v="66.72"/>
    <n v="589"/>
    <n v="1"/>
  </r>
  <r>
    <x v="41"/>
    <n v="0.8240543389155639"/>
    <n v="38590"/>
    <s v="EVERGREEN ELEMENTARY SCHOOL"/>
    <m/>
    <m/>
    <m/>
    <n v="563"/>
    <n v="2014"/>
    <n v="66.72"/>
    <n v="563"/>
    <n v="1"/>
  </r>
  <r>
    <x v="41"/>
    <n v="0.8240543389155639"/>
    <n v="38598"/>
    <s v="FESSENDEN ELEMENTARY SCHOOL"/>
    <m/>
    <m/>
    <m/>
    <n v="483"/>
    <n v="2014"/>
    <n v="66.72"/>
    <n v="483"/>
    <n v="1"/>
  </r>
  <r>
    <x v="41"/>
    <n v="0.8240543389155639"/>
    <n v="38567"/>
    <s v="FOREST HIGH SCHOOL"/>
    <m/>
    <m/>
    <n v="1047"/>
    <n v="2179"/>
    <m/>
    <m/>
    <n v="1047"/>
    <n v="0.48049564020192748"/>
  </r>
  <r>
    <x v="41"/>
    <n v="0.8240543389155639"/>
    <n v="38564"/>
    <s v="FORT KING MIDDLE SCHOOL"/>
    <m/>
    <m/>
    <n v="787"/>
    <n v="1055"/>
    <m/>
    <m/>
    <n v="787"/>
    <n v="0.7459715639810427"/>
  </r>
  <r>
    <x v="41"/>
    <n v="0.8240543389155639"/>
    <n v="34944"/>
    <s v="FORT MCCOY SCHOOL"/>
    <m/>
    <m/>
    <m/>
    <n v="965"/>
    <n v="2014"/>
    <n v="66.72"/>
    <n v="965"/>
    <n v="1"/>
  </r>
  <r>
    <x v="41"/>
    <n v="0.8240543389155639"/>
    <n v="16082823"/>
    <s v="FRANCIS MARION CHARTER SCHOOL"/>
    <m/>
    <m/>
    <n v="95"/>
    <n v="124"/>
    <m/>
    <m/>
    <n v="95"/>
    <n v="0.7661290322580645"/>
  </r>
  <r>
    <x v="41"/>
    <n v="0.8240543389155639"/>
    <n v="16082824"/>
    <s v="FRANCIS MARION MILITARY ACADEMY"/>
    <m/>
    <m/>
    <n v="72"/>
    <n v="98"/>
    <m/>
    <m/>
    <n v="72"/>
    <n v="0.73469387755102045"/>
  </r>
  <r>
    <x v="41"/>
    <n v="0.8240543389155639"/>
    <n v="38582"/>
    <s v="GREENWAY ELEMENTARY SCHOOL"/>
    <m/>
    <m/>
    <m/>
    <n v="740"/>
    <n v="2014"/>
    <n v="66.72"/>
    <n v="740"/>
    <n v="1"/>
  </r>
  <r>
    <x v="41"/>
    <n v="0.8240543389155639"/>
    <n v="16033393"/>
    <s v="HAMMETT BOWEN JR. ELEMENTARY SCHOOL"/>
    <m/>
    <m/>
    <m/>
    <n v="788"/>
    <n v="2014"/>
    <n v="66.72"/>
    <n v="788"/>
    <n v="1"/>
  </r>
  <r>
    <x v="41"/>
    <n v="0.8240543389155639"/>
    <n v="38604"/>
    <s v="HARBOUR VIEW ELEMENTARY SCHOOL"/>
    <m/>
    <m/>
    <m/>
    <n v="787"/>
    <n v="2014"/>
    <n v="66.72"/>
    <n v="787"/>
    <n v="1"/>
  </r>
  <r>
    <x v="41"/>
    <n v="0.8240543389155639"/>
    <n v="38574"/>
    <s v="HILLCREST"/>
    <m/>
    <m/>
    <n v="128"/>
    <n v="177"/>
    <m/>
    <m/>
    <n v="128"/>
    <n v="0.7231638418079096"/>
  </r>
  <r>
    <x v="41"/>
    <n v="0.8240543389155639"/>
    <n v="16044495"/>
    <s v="HORIZON ACADEMY AT MARION OAKS"/>
    <m/>
    <m/>
    <n v="679"/>
    <n v="781"/>
    <m/>
    <m/>
    <n v="679"/>
    <n v="0.86939820742637641"/>
  </r>
  <r>
    <x v="41"/>
    <n v="0.8240543389155639"/>
    <n v="38591"/>
    <s v="HOWARD MIDDLE SCHOOL"/>
    <m/>
    <m/>
    <n v="715"/>
    <n v="1157"/>
    <m/>
    <m/>
    <n v="715"/>
    <n v="0.6179775280898876"/>
  </r>
  <r>
    <x v="41"/>
    <n v="0.8240543389155639"/>
    <n v="16028726"/>
    <s v="KINGSBURY ACADEMY---New Name--NEW LEAF CENTER"/>
    <m/>
    <m/>
    <n v="95"/>
    <n v="107"/>
    <m/>
    <m/>
    <n v="95"/>
    <n v="0.88785046728971961"/>
  </r>
  <r>
    <x v="41"/>
    <n v="0.8240543389155639"/>
    <n v="38579"/>
    <s v="LAKE WEIR HIGH SCHOOL"/>
    <m/>
    <m/>
    <n v="1234"/>
    <n v="1660"/>
    <m/>
    <m/>
    <n v="1234"/>
    <n v="0.74337349397590358"/>
  </r>
  <r>
    <x v="41"/>
    <n v="0.8240543389155639"/>
    <n v="38605"/>
    <s v="LAKE WEIR MIDDLE SCHOOL"/>
    <m/>
    <m/>
    <n v="979"/>
    <n v="1199"/>
    <m/>
    <m/>
    <n v="979"/>
    <n v="0.8165137614678899"/>
  </r>
  <r>
    <x v="41"/>
    <n v="0.8240543389155639"/>
    <n v="16038729"/>
    <s v="LEGACY ELEMENTARY SCHOOL"/>
    <m/>
    <m/>
    <m/>
    <n v="726"/>
    <n v="2014"/>
    <n v="66.72"/>
    <n v="726"/>
    <n v="1"/>
  </r>
  <r>
    <x v="41"/>
    <n v="0.8240543389155639"/>
    <n v="16038729"/>
    <s v="LIBERTY MIDDLE SCHOOL"/>
    <m/>
    <m/>
    <n v="756"/>
    <n v="1112"/>
    <m/>
    <m/>
    <n v="756"/>
    <n v="0.67985611510791366"/>
  </r>
  <r>
    <x v="41"/>
    <n v="0.8240543389155639"/>
    <n v="38593"/>
    <s v="MADISON STREET ACADEMY OF VISUAL AND PERFORMING ARTS"/>
    <m/>
    <m/>
    <m/>
    <n v="429"/>
    <n v="2014"/>
    <n v="66.72"/>
    <n v="429"/>
    <n v="1"/>
  </r>
  <r>
    <x v="41"/>
    <n v="0.8240543389155639"/>
    <n v="38577"/>
    <s v="MAPLEWOOD ELEMENTARY SCHOOL"/>
    <m/>
    <m/>
    <m/>
    <n v="747"/>
    <n v="2014"/>
    <n v="66.72"/>
    <n v="747"/>
    <n v="1"/>
  </r>
  <r>
    <x v="41"/>
    <n v="0.8240543389155639"/>
    <n v="16082826"/>
    <s v="MARION CHARTER SCHOOL"/>
    <m/>
    <m/>
    <m/>
    <n v="210"/>
    <n v="2014"/>
    <n v="66.72"/>
    <n v="210"/>
    <n v="1"/>
  </r>
  <r>
    <x v="41"/>
    <n v="0.8240543389155639"/>
    <n v="16027947"/>
    <s v="MARION DISTRICT OFFICE"/>
    <m/>
    <m/>
    <m/>
    <s v="0"/>
    <m/>
    <m/>
    <n v="0"/>
    <n v="0"/>
  </r>
  <r>
    <x v="41"/>
    <n v="0.8240543389155639"/>
    <n v="16082828"/>
    <s v="MARION ELEARNING"/>
    <m/>
    <m/>
    <n v="7"/>
    <n v="40"/>
    <m/>
    <m/>
    <n v="7"/>
    <n v="0.17499999999999999"/>
  </r>
  <r>
    <x v="41"/>
    <n v="0.8240543389155639"/>
    <n v="16058513"/>
    <s v="MARION OAKS ELEMENTARY SCHOOL"/>
    <m/>
    <m/>
    <m/>
    <n v="879"/>
    <n v="2014"/>
    <n v="66.72"/>
    <n v="879"/>
    <n v="1"/>
  </r>
  <r>
    <x v="41"/>
    <n v="0.8240543389155639"/>
    <n v="228342"/>
    <s v="MARION REG. JUVENILE DETENTION CENTER"/>
    <m/>
    <m/>
    <n v="7"/>
    <n v="28"/>
    <m/>
    <m/>
    <n v="7"/>
    <n v="0.25"/>
  </r>
  <r>
    <x v="41"/>
    <n v="0.8240543389155639"/>
    <n v="16027834"/>
    <s v="MARION TECHNICAL INSTITUTE"/>
    <m/>
    <m/>
    <m/>
    <s v="*"/>
    <m/>
    <m/>
    <n v="0"/>
    <n v="0"/>
  </r>
  <r>
    <x v="41"/>
    <n v="0.8240543389155639"/>
    <n v="228341"/>
    <s v="MARION YOUTH ACADEMY"/>
    <m/>
    <m/>
    <n v="4"/>
    <n v="38"/>
    <m/>
    <m/>
    <n v="4"/>
    <n v="0.10526315789473684"/>
  </r>
  <r>
    <x v="41"/>
    <n v="0.8240543389155639"/>
    <n v="16082831"/>
    <s v="MCINTOSH AREA SCHOOL"/>
    <m/>
    <m/>
    <m/>
    <n v="76"/>
    <n v="2014"/>
    <n v="66.72"/>
    <n v="76"/>
    <n v="1"/>
  </r>
  <r>
    <x v="41"/>
    <n v="0.8240543389155639"/>
    <n v="16082834"/>
    <s v="MCSO ADULTS"/>
    <m/>
    <m/>
    <n v="13"/>
    <n v="16"/>
    <m/>
    <m/>
    <n v="13"/>
    <n v="0.8125"/>
  </r>
  <r>
    <x v="41"/>
    <n v="0.8240543389155639"/>
    <n v="16082835"/>
    <s v="MCSO JUVENILES"/>
    <m/>
    <m/>
    <m/>
    <s v="*"/>
    <m/>
    <m/>
    <n v="0"/>
    <n v="0"/>
  </r>
  <r>
    <x v="41"/>
    <n v="0.8240543389155639"/>
    <n v="34898"/>
    <s v="NORTH MARION HIGH SCHOOL"/>
    <m/>
    <m/>
    <n v="971"/>
    <n v="1387"/>
    <m/>
    <m/>
    <n v="971"/>
    <n v="0.70007209805335258"/>
  </r>
  <r>
    <x v="41"/>
    <n v="0.8240543389155639"/>
    <n v="34897"/>
    <s v="NORTH MARION MIDDLE SCHOOL"/>
    <m/>
    <m/>
    <n v="682"/>
    <n v="826"/>
    <m/>
    <m/>
    <n v="682"/>
    <n v="0.82566585956416461"/>
  </r>
  <r>
    <x v="41"/>
    <n v="0.8240543389155639"/>
    <n v="38561"/>
    <s v="OAKCREST ELEMENTARY SCHOOL"/>
    <m/>
    <m/>
    <m/>
    <n v="781"/>
    <n v="2014"/>
    <n v="66.72"/>
    <n v="781"/>
    <n v="1"/>
  </r>
  <r>
    <x v="41"/>
    <n v="0.8240543389155639"/>
    <n v="38596"/>
    <s v="OCALA SPRINGS ELEMENTARY SCHOOL"/>
    <m/>
    <m/>
    <m/>
    <n v="605"/>
    <n v="2014"/>
    <n v="66.72"/>
    <n v="605"/>
    <n v="1"/>
  </r>
  <r>
    <x v="41"/>
    <n v="0.8240543389155639"/>
    <n v="38569"/>
    <s v="OSCEOLA MIDDLE SCHOOL"/>
    <m/>
    <m/>
    <n v="409"/>
    <n v="884"/>
    <m/>
    <m/>
    <n v="409"/>
    <n v="0.46266968325791857"/>
  </r>
  <r>
    <x v="41"/>
    <n v="0.8240543389155639"/>
    <n v="228344"/>
    <s v="PACE CENTER FOR GIRLS, INC."/>
    <m/>
    <m/>
    <m/>
    <n v="56"/>
    <m/>
    <m/>
    <n v="0"/>
    <n v="0"/>
  </r>
  <r>
    <x v="41"/>
    <n v="0.8240543389155639"/>
    <n v="16082836"/>
    <s v="PREK SPEECH AND LANGUAGE STUDENT SERVICES"/>
    <m/>
    <m/>
    <m/>
    <n v="54"/>
    <m/>
    <m/>
    <n v="0"/>
    <n v="0"/>
  </r>
  <r>
    <x v="41"/>
    <n v="0.8240543389155639"/>
    <n v="35770"/>
    <s v="REDDICK-COLLIER ELEMENTARY SCHOOL"/>
    <m/>
    <m/>
    <m/>
    <n v="327"/>
    <n v="2014"/>
    <n v="66.72"/>
    <n v="327"/>
    <n v="1"/>
  </r>
  <r>
    <x v="41"/>
    <n v="0.8240543389155639"/>
    <n v="38529"/>
    <s v="ROMEO ELEMENTARY SCHOOL"/>
    <m/>
    <m/>
    <m/>
    <n v="693"/>
    <n v="2014"/>
    <n v="66.72"/>
    <n v="693"/>
    <n v="1"/>
  </r>
  <r>
    <x v="41"/>
    <n v="0.8240543389155639"/>
    <n v="208391"/>
    <s v="SADDLEWOOD ELEMENTARY SCHOOL"/>
    <m/>
    <m/>
    <m/>
    <n v="838"/>
    <n v="2014"/>
    <n v="66.72"/>
    <n v="838"/>
    <n v="1"/>
  </r>
  <r>
    <x v="41"/>
    <n v="0.8240543389155639"/>
    <n v="38589"/>
    <s v="SHADY HILL ELEMENTARY SCHOOL"/>
    <m/>
    <m/>
    <m/>
    <n v="657"/>
    <n v="2014"/>
    <n v="66.72"/>
    <n v="657"/>
    <n v="1"/>
  </r>
  <r>
    <x v="41"/>
    <n v="0.8240543389155639"/>
    <n v="152578"/>
    <s v="SILVER RIVER MENTORING AND INSTRUCTION"/>
    <m/>
    <m/>
    <n v="170"/>
    <n v="191"/>
    <m/>
    <m/>
    <n v="170"/>
    <n v="0.89005235602094246"/>
  </r>
  <r>
    <x v="41"/>
    <n v="0.8240543389155639"/>
    <n v="38578"/>
    <s v="SOUTH OCALA ELEMENTARY SCHOOL"/>
    <m/>
    <m/>
    <m/>
    <n v="669"/>
    <n v="2014"/>
    <n v="66.72"/>
    <n v="669"/>
    <n v="1"/>
  </r>
  <r>
    <x v="41"/>
    <n v="0.8240543389155639"/>
    <n v="34991"/>
    <s v="SPARR ELEMENTARY SCHOOL"/>
    <m/>
    <m/>
    <m/>
    <n v="351"/>
    <n v="2014"/>
    <n v="66.72"/>
    <n v="351"/>
    <n v="1"/>
  </r>
  <r>
    <x v="41"/>
    <n v="0.8240543389155639"/>
    <n v="34992"/>
    <s v="STANTON-WEIRSDALE ELEMENTARY SCHOOL"/>
    <m/>
    <m/>
    <m/>
    <n v="585"/>
    <n v="2014"/>
    <n v="66.72"/>
    <n v="585"/>
    <n v="1"/>
  </r>
  <r>
    <x v="41"/>
    <n v="0.8240543389155639"/>
    <n v="38594"/>
    <s v="STUDENT SERVICES/ESE"/>
    <m/>
    <m/>
    <n v="11"/>
    <n v="64"/>
    <m/>
    <m/>
    <n v="11"/>
    <n v="0.171875"/>
  </r>
  <r>
    <x v="41"/>
    <n v="0.8240543389155639"/>
    <n v="38583"/>
    <s v="SUNRISE ELEMENTARY SCHOOL"/>
    <m/>
    <m/>
    <m/>
    <n v="829"/>
    <n v="2014"/>
    <n v="66.72"/>
    <n v="829"/>
    <n v="1"/>
  </r>
  <r>
    <x v="41"/>
    <n v="0.8240543389155639"/>
    <n v="38592"/>
    <s v="VANGUARD HIGH SCHOOL"/>
    <m/>
    <m/>
    <n v="1025"/>
    <n v="1710"/>
    <m/>
    <m/>
    <n v="1025"/>
    <n v="0.59941520467836262"/>
  </r>
  <r>
    <x v="41"/>
    <n v="0.8240543389155639"/>
    <n v="38568"/>
    <s v="WARD-HIGHLANDS ELEMENTARY SCHOOL"/>
    <m/>
    <m/>
    <m/>
    <n v="846"/>
    <n v="2014"/>
    <n v="66.72"/>
    <n v="846"/>
    <n v="1"/>
  </r>
  <r>
    <x v="41"/>
    <n v="0.8240543389155639"/>
    <n v="228339"/>
    <s v="WEST PORT HIGH SCHOOL"/>
    <m/>
    <m/>
    <n v="1667"/>
    <n v="2669"/>
    <m/>
    <m/>
    <n v="1667"/>
    <n v="0.62457849381790931"/>
  </r>
  <r>
    <x v="41"/>
    <n v="0.8240543389155639"/>
    <n v="38563"/>
    <s v="WYOMINA PARK ELEMENTARY SCHOOL"/>
    <m/>
    <m/>
    <m/>
    <n v="625"/>
    <n v="2014"/>
    <n v="66.72"/>
    <n v="625"/>
    <n v="1"/>
  </r>
  <r>
    <x v="42"/>
    <n v="0.49710982658959535"/>
    <n v="38872"/>
    <s v="BESSEY CREEK ELEMENTARY SCHOOL"/>
    <m/>
    <m/>
    <n v="114"/>
    <n v="534"/>
    <m/>
    <m/>
    <n v="114"/>
    <n v="0.21348314606741572"/>
  </r>
  <r>
    <x v="42"/>
    <n v="0.49710982658959535"/>
    <n v="38891"/>
    <s v="CHALLENGER SCHOOL"/>
    <m/>
    <m/>
    <m/>
    <n v="61"/>
    <n v="2014"/>
    <n v="64.86"/>
    <n v="61"/>
    <n v="1"/>
  </r>
  <r>
    <x v="42"/>
    <n v="0.49710982658959535"/>
    <n v="16045599"/>
    <s v="CITRUS GROVE ELEMENTARY"/>
    <m/>
    <m/>
    <n v="153"/>
    <n v="667"/>
    <m/>
    <m/>
    <n v="153"/>
    <n v="0.22938530734632684"/>
  </r>
  <r>
    <x v="42"/>
    <n v="0.49710982658959535"/>
    <n v="38889"/>
    <s v="CRYSTAL LAKE ELEMENTARY SCHOOL"/>
    <m/>
    <m/>
    <n v="229"/>
    <n v="587"/>
    <m/>
    <m/>
    <n v="229"/>
    <n v="0.3901192504258944"/>
  </r>
  <r>
    <x v="42"/>
    <n v="0.49710982658959535"/>
    <n v="16036029"/>
    <s v="DR. DAVID L. ANDERSON MIDDLE SCHOOL"/>
    <m/>
    <m/>
    <n v="534"/>
    <n v="955"/>
    <m/>
    <m/>
    <n v="534"/>
    <n v="0.55916230366492148"/>
  </r>
  <r>
    <x v="42"/>
    <n v="0.49710982658959535"/>
    <n v="38837"/>
    <s v="ENVIRONMENTAL STUDIES CENTER"/>
    <m/>
    <m/>
    <m/>
    <n v="0"/>
    <m/>
    <m/>
    <n v="0"/>
    <n v="0"/>
  </r>
  <r>
    <x v="42"/>
    <n v="0.49710982658959535"/>
    <n v="38878"/>
    <s v="FELIX A WILLIAMS ELEMENTARY SCHOOL"/>
    <m/>
    <m/>
    <n v="268"/>
    <n v="675"/>
    <m/>
    <m/>
    <n v="268"/>
    <n v="0.39703703703703702"/>
  </r>
  <r>
    <x v="42"/>
    <n v="0.49710982658959535"/>
    <n v="38873"/>
    <s v="HIDDEN OAKS MIDDLE SCHOOL"/>
    <m/>
    <m/>
    <n v="216"/>
    <n v="1053"/>
    <m/>
    <m/>
    <n v="216"/>
    <n v="0.20512820512820512"/>
  </r>
  <r>
    <x v="42"/>
    <n v="0.49710982658959535"/>
    <n v="37440"/>
    <s v="HOBE SOUND ELEMENTARY SCHOOL"/>
    <m/>
    <m/>
    <n v="352"/>
    <n v="632"/>
    <m/>
    <m/>
    <n v="352"/>
    <n v="0.55696202531645567"/>
  </r>
  <r>
    <x v="42"/>
    <n v="0.49710982658959535"/>
    <n v="38831"/>
    <s v="INDIANTOWN MIDDLE SCHOOL"/>
    <m/>
    <m/>
    <m/>
    <n v="523"/>
    <n v="2015"/>
    <n v="68.62"/>
    <n v="523"/>
    <n v="1"/>
  </r>
  <r>
    <x v="42"/>
    <n v="0.49710982658959535"/>
    <n v="38887"/>
    <s v="J. D. PARKER SCHOOL OF TECHNOLOGY"/>
    <m/>
    <m/>
    <m/>
    <n v="659"/>
    <n v="2014"/>
    <n v="63.24"/>
    <n v="659"/>
    <n v="1"/>
  </r>
  <r>
    <x v="42"/>
    <n v="0.49710982658959535"/>
    <n v="38838"/>
    <s v="JENSEN BEACH ELEMENTARY SCHOOL"/>
    <m/>
    <m/>
    <n v="319"/>
    <n v="640"/>
    <m/>
    <m/>
    <n v="319"/>
    <n v="0.49843749999999998"/>
  </r>
  <r>
    <x v="42"/>
    <n v="0.49710982658959535"/>
    <n v="16026322"/>
    <s v="JENSEN BEACH HIGH SCHOOL"/>
    <m/>
    <m/>
    <n v="485"/>
    <n v="1667"/>
    <m/>
    <m/>
    <n v="485"/>
    <n v="0.29094181163767247"/>
  </r>
  <r>
    <x v="42"/>
    <n v="0.49710982658959535"/>
    <n v="38883"/>
    <s v="MARTIN COUNTY GIRLS ACADEMY"/>
    <m/>
    <m/>
    <n v="24"/>
    <n v="25"/>
    <m/>
    <m/>
    <n v="24"/>
    <n v="0.96"/>
  </r>
  <r>
    <x v="42"/>
    <n v="0.49710982658959535"/>
    <n v="38884"/>
    <s v="MARTIN COUNTY HIGH SCHOOL"/>
    <m/>
    <m/>
    <n v="731"/>
    <n v="2201"/>
    <m/>
    <m/>
    <n v="731"/>
    <n v="0.33212176283507494"/>
  </r>
  <r>
    <x v="42"/>
    <n v="0.49710982658959535"/>
    <n v="16036381"/>
    <s v="MARTIN DISTRICT OFFICE"/>
    <m/>
    <m/>
    <m/>
    <s v="0"/>
    <m/>
    <m/>
    <n v="0"/>
    <n v="0"/>
  </r>
  <r>
    <x v="42"/>
    <n v="0.49710982658959535"/>
    <n v="38895"/>
    <s v="MURRAY MIDDLE SCHOOL"/>
    <m/>
    <m/>
    <n v="375"/>
    <n v="754"/>
    <m/>
    <m/>
    <n v="375"/>
    <n v="0.4973474801061008"/>
  </r>
  <r>
    <x v="42"/>
    <n v="0.49710982658959535"/>
    <n v="38874"/>
    <s v="PALM CITY ELEMENTARY SCHOOL"/>
    <m/>
    <m/>
    <n v="170"/>
    <n v="690"/>
    <m/>
    <m/>
    <n v="170"/>
    <n v="0.24637681159420291"/>
  </r>
  <r>
    <x v="42"/>
    <n v="0.49710982658959535"/>
    <n v="38892"/>
    <s v="PINEWOOD ELEMENTARY SCHOOL"/>
    <m/>
    <m/>
    <m/>
    <n v="815"/>
    <n v="2014"/>
    <n v="52.92"/>
    <n v="815"/>
    <n v="1"/>
  </r>
  <r>
    <x v="42"/>
    <n v="0.49710982658959535"/>
    <n v="38893"/>
    <s v="PORT SALERNO ELEMENTARY SCHOOL"/>
    <m/>
    <m/>
    <m/>
    <n v="817"/>
    <n v="2014"/>
    <n v="69.27"/>
    <n v="817"/>
    <n v="1"/>
  </r>
  <r>
    <x v="42"/>
    <n v="0.49710982658959535"/>
    <n v="225519"/>
    <s v="PREKINDERGARTEN PROGRAMS"/>
    <m/>
    <m/>
    <n v="23"/>
    <n v="23"/>
    <m/>
    <m/>
    <n v="23"/>
    <n v="1"/>
  </r>
  <r>
    <x v="42"/>
    <n v="0.49710982658959535"/>
    <n v="16082716"/>
    <s v="RIVERBEND ACADEMY"/>
    <m/>
    <m/>
    <m/>
    <n v="126"/>
    <m/>
    <m/>
    <n v="0"/>
    <n v="0"/>
  </r>
  <r>
    <x v="42"/>
    <n v="0.49710982658959535"/>
    <n v="37442"/>
    <s v="SEA WIND ELEMENTARY SCHOOL"/>
    <m/>
    <m/>
    <n v="380"/>
    <n v="681"/>
    <m/>
    <m/>
    <n v="380"/>
    <n v="0.55800293685756241"/>
  </r>
  <r>
    <x v="42"/>
    <n v="0.49710982658959535"/>
    <n v="38890"/>
    <s v="SOUTH FORK HIGH SCHOOL"/>
    <m/>
    <m/>
    <n v="760"/>
    <n v="1933"/>
    <m/>
    <m/>
    <n v="760"/>
    <n v="0.3931712364200724"/>
  </r>
  <r>
    <x v="42"/>
    <n v="0.49710982658959535"/>
    <n v="38882"/>
    <s v="SPECTRUM JUNIOR/SENIOR HIGH SCHOOL"/>
    <m/>
    <m/>
    <n v="49"/>
    <n v="78"/>
    <m/>
    <m/>
    <n v="49"/>
    <n v="0.62820512820512819"/>
  </r>
  <r>
    <x v="42"/>
    <n v="0.49710982658959535"/>
    <n v="38881"/>
    <s v="STUART MIDDLE SCHOOL"/>
    <m/>
    <m/>
    <n v="394"/>
    <n v="951"/>
    <m/>
    <m/>
    <n v="394"/>
    <n v="0.41430073606729756"/>
  </r>
  <r>
    <x v="42"/>
    <n v="0.49710982658959535"/>
    <n v="38834"/>
    <s v="TEEN PARENT INDIANTOWN"/>
    <m/>
    <m/>
    <m/>
    <n v="13"/>
    <m/>
    <m/>
    <n v="0"/>
    <n v="0"/>
  </r>
  <r>
    <x v="42"/>
    <n v="0.49710982658959535"/>
    <n v="38833"/>
    <s v="WARFIELD ELEMENTARY SCHOOL"/>
    <m/>
    <m/>
    <m/>
    <n v="751"/>
    <n v="2015"/>
    <n v="69.84"/>
    <n v="751"/>
    <n v="1"/>
  </r>
  <r>
    <x v="43"/>
    <n v="0.47853924590941427"/>
    <n v="16071021"/>
    <s v="ACADEMIC CONNECTIONS FOR EXCELLENCE"/>
    <m/>
    <m/>
    <m/>
    <n v="8"/>
    <m/>
    <m/>
    <n v="0"/>
    <n v="0"/>
  </r>
  <r>
    <x v="43"/>
    <n v="0.47853924590941427"/>
    <n v="36484"/>
    <s v="BIG PINE ACADEMY"/>
    <m/>
    <m/>
    <n v="57"/>
    <n v="133"/>
    <m/>
    <m/>
    <n v="57"/>
    <n v="0.42857142857142855"/>
  </r>
  <r>
    <x v="43"/>
    <n v="0.47853924590941427"/>
    <n v="36599"/>
    <s v="CORAL SHORES HIGH SCHOOL"/>
    <m/>
    <m/>
    <n v="268"/>
    <n v="713"/>
    <m/>
    <m/>
    <n v="268"/>
    <n v="0.37587657784011219"/>
  </r>
  <r>
    <x v="43"/>
    <n v="0.47853924590941427"/>
    <n v="36479"/>
    <s v="GERALD ADAMS ELEMENTARY SCHOOL"/>
    <m/>
    <m/>
    <n v="419"/>
    <n v="557"/>
    <m/>
    <m/>
    <n v="419"/>
    <n v="0.75224416517055659"/>
  </r>
  <r>
    <x v="43"/>
    <n v="0.47853924590941427"/>
    <n v="36475"/>
    <s v="HORACE O'BRYANT SCHOOL"/>
    <m/>
    <m/>
    <n v="748"/>
    <n v="1092"/>
    <m/>
    <m/>
    <n v="748"/>
    <n v="0.68498168498168499"/>
  </r>
  <r>
    <x v="43"/>
    <n v="0.47853924590941427"/>
    <n v="170714"/>
    <s v="HURRICANE ISLAND OUTWARD BOUND"/>
    <m/>
    <m/>
    <m/>
    <s v="*"/>
    <m/>
    <m/>
    <n v="0"/>
    <n v="0"/>
  </r>
  <r>
    <x v="43"/>
    <n v="0.47853924590941427"/>
    <n v="36469"/>
    <s v="KEY LARGO SCHOOL"/>
    <m/>
    <m/>
    <n v="559"/>
    <n v="858"/>
    <m/>
    <m/>
    <n v="559"/>
    <n v="0.65151515151515149"/>
  </r>
  <r>
    <x v="43"/>
    <n v="0.47853924590941427"/>
    <n v="16073010"/>
    <s v="KEY WEST COLLEGIATE SCHOOL"/>
    <m/>
    <m/>
    <n v="8"/>
    <n v="76"/>
    <m/>
    <m/>
    <n v="8"/>
    <n v="0.10526315789473684"/>
  </r>
  <r>
    <x v="43"/>
    <n v="0.47853924590941427"/>
    <n v="36476"/>
    <s v="KEY WEST HIGH SCHOOL"/>
    <m/>
    <m/>
    <n v="444"/>
    <n v="1182"/>
    <m/>
    <m/>
    <n v="444"/>
    <n v="0.37563451776649748"/>
  </r>
  <r>
    <x v="43"/>
    <n v="0.47853924590941427"/>
    <n v="213258"/>
    <s v="KEY WEST MONTESSORI CHARTER SCHOOL, INC"/>
    <m/>
    <m/>
    <n v="21"/>
    <n v="148"/>
    <m/>
    <m/>
    <n v="21"/>
    <n v="0.14189189189189189"/>
  </r>
  <r>
    <x v="43"/>
    <n v="0.47853924590941427"/>
    <n v="16049442"/>
    <s v="KEYS CENTER"/>
    <m/>
    <m/>
    <n v="10"/>
    <n v="14"/>
    <m/>
    <m/>
    <n v="10"/>
    <n v="0.7142857142857143"/>
  </r>
  <r>
    <x v="43"/>
    <n v="0.47853924590941427"/>
    <n v="36487"/>
    <s v="MARATHON SCHOOL"/>
    <m/>
    <m/>
    <n v="370"/>
    <n v="683"/>
    <m/>
    <m/>
    <n v="370"/>
    <n v="0.54172767203513905"/>
  </r>
  <r>
    <x v="43"/>
    <n v="0.47853924590941427"/>
    <n v="16071022"/>
    <s v="MONROE JUVENILE DETENTION CENTER"/>
    <m/>
    <m/>
    <m/>
    <n v="0"/>
    <m/>
    <m/>
    <n v="0"/>
    <n v="0"/>
  </r>
  <r>
    <x v="43"/>
    <n v="0.47853924590941427"/>
    <n v="16084529"/>
    <s v="OCEAN STUDIES CHARTER"/>
    <m/>
    <m/>
    <n v="2"/>
    <n v="105"/>
    <m/>
    <m/>
    <n v="2"/>
    <n v="1.9047619047619049E-2"/>
  </r>
  <r>
    <x v="43"/>
    <n v="0.47853924590941427"/>
    <n v="36598"/>
    <s v="PLANTATION KEY SCHOOL"/>
    <m/>
    <m/>
    <n v="187"/>
    <n v="417"/>
    <m/>
    <m/>
    <n v="187"/>
    <n v="0.44844124700239807"/>
  </r>
  <r>
    <x v="43"/>
    <n v="0.47853924590941427"/>
    <n v="36478"/>
    <s v="POINCIANA ELEMENTARY SCHOOL"/>
    <m/>
    <m/>
    <n v="318"/>
    <n v="627"/>
    <m/>
    <m/>
    <n v="318"/>
    <n v="0.50717703349282295"/>
  </r>
  <r>
    <x v="43"/>
    <n v="0.47853924590941427"/>
    <n v="36472"/>
    <s v="SIGSBEE CHARTER SCHOOL"/>
    <m/>
    <m/>
    <n v="11"/>
    <n v="483"/>
    <m/>
    <m/>
    <n v="11"/>
    <n v="2.2774327122153208E-2"/>
  </r>
  <r>
    <x v="43"/>
    <n v="0.47853924590941427"/>
    <n v="36485"/>
    <s v="STANLEY SWITLIK ELEMENTARY SCHOOL"/>
    <m/>
    <m/>
    <n v="353"/>
    <n v="572"/>
    <m/>
    <m/>
    <n v="353"/>
    <n v="0.61713286713286708"/>
  </r>
  <r>
    <x v="43"/>
    <n v="0.47853924590941427"/>
    <n v="36483"/>
    <s v="SUGARLOAF SCHOOL"/>
    <m/>
    <m/>
    <n v="237"/>
    <n v="546"/>
    <m/>
    <m/>
    <n v="237"/>
    <n v="0.43406593406593408"/>
  </r>
  <r>
    <x v="43"/>
    <n v="0.47853924590941427"/>
    <n v="201393"/>
    <s v="TREASURE VILLAGE MONTESSORI CHARTER SCHOOL"/>
    <m/>
    <m/>
    <n v="24"/>
    <n v="220"/>
    <m/>
    <m/>
    <n v="24"/>
    <n v="0.10909090909090909"/>
  </r>
  <r>
    <x v="44"/>
    <n v="0.51081868762695404"/>
    <n v="34739"/>
    <s v="BRYCEVILLE ELEMENTARY SCHOOL"/>
    <m/>
    <m/>
    <n v="98"/>
    <n v="188"/>
    <m/>
    <m/>
    <n v="98"/>
    <n v="0.52127659574468088"/>
  </r>
  <r>
    <x v="44"/>
    <n v="0.51081868762695404"/>
    <n v="34740"/>
    <s v="CALLAHAN ELEMENTARY SCHOOL"/>
    <m/>
    <m/>
    <n v="357"/>
    <n v="598"/>
    <m/>
    <m/>
    <n v="357"/>
    <n v="0.59698996655518399"/>
  </r>
  <r>
    <x v="44"/>
    <n v="0.51081868762695404"/>
    <n v="34743"/>
    <s v="CALLAHAN INTERMEDIATE SCHOOL"/>
    <m/>
    <m/>
    <n v="352"/>
    <n v="580"/>
    <m/>
    <m/>
    <n v="352"/>
    <n v="0.60689655172413792"/>
  </r>
  <r>
    <x v="44"/>
    <n v="0.51081868762695404"/>
    <n v="34744"/>
    <s v="CALLAHAN MIDDLE SCHOOL"/>
    <m/>
    <m/>
    <n v="410"/>
    <n v="742"/>
    <m/>
    <m/>
    <n v="410"/>
    <n v="0.55256064690026951"/>
  </r>
  <r>
    <x v="44"/>
    <n v="0.51081868762695404"/>
    <n v="34761"/>
    <s v="EMMA LOVE HARDEE ELEMENTARY"/>
    <m/>
    <m/>
    <n v="289"/>
    <n v="583"/>
    <m/>
    <m/>
    <n v="289"/>
    <n v="0.49571183533447682"/>
  </r>
  <r>
    <x v="44"/>
    <n v="0.51081868762695404"/>
    <n v="34756"/>
    <s v="FERNANDINA BEACH HIGH SCHOOL"/>
    <m/>
    <m/>
    <n v="323"/>
    <n v="927"/>
    <m/>
    <m/>
    <n v="323"/>
    <n v="0.34843581445523192"/>
  </r>
  <r>
    <x v="44"/>
    <n v="0.51081868762695404"/>
    <n v="34755"/>
    <s v="FERNANDINA BEACH MIDDLE SCHOOL"/>
    <m/>
    <m/>
    <n v="274"/>
    <n v="642"/>
    <m/>
    <m/>
    <n v="274"/>
    <n v="0.42679127725856697"/>
  </r>
  <r>
    <x v="44"/>
    <n v="0.51081868762695404"/>
    <n v="34774"/>
    <s v="HILLIARD ELEMENTARY SCHOOL"/>
    <m/>
    <m/>
    <n v="489"/>
    <n v="735"/>
    <m/>
    <m/>
    <n v="489"/>
    <n v="0.66530612244897958"/>
  </r>
  <r>
    <x v="44"/>
    <n v="0.51081868762695404"/>
    <n v="34775"/>
    <s v="HILLIARD MIDDLE/SENIOR HIGH"/>
    <m/>
    <m/>
    <n v="408"/>
    <n v="745"/>
    <m/>
    <m/>
    <n v="408"/>
    <n v="0.54765100671140943"/>
  </r>
  <r>
    <x v="44"/>
    <n v="0.51081868762695404"/>
    <n v="127548"/>
    <s v="NASSAU DISTRICT OFFICE"/>
    <m/>
    <m/>
    <m/>
    <m/>
    <m/>
    <m/>
    <n v="0"/>
    <n v="0"/>
  </r>
  <r>
    <x v="44"/>
    <n v="0.51081868762695404"/>
    <n v="34759"/>
    <s v="SOUTHSIDE ELEMENTARY SCHOOL"/>
    <m/>
    <m/>
    <n v="311"/>
    <n v="527"/>
    <m/>
    <m/>
    <n v="311"/>
    <n v="0.59013282732447814"/>
  </r>
  <r>
    <x v="44"/>
    <n v="0.51081868762695404"/>
    <n v="34742"/>
    <s v="WEST NASSAU COUNTY HIGH SCHOOL"/>
    <m/>
    <m/>
    <n v="437"/>
    <n v="1018"/>
    <m/>
    <m/>
    <n v="437"/>
    <n v="0.42927308447937129"/>
  </r>
  <r>
    <x v="44"/>
    <n v="0.51081868762695404"/>
    <n v="34766"/>
    <s v="YULEE ELEMENTARY SCHOOL"/>
    <m/>
    <m/>
    <n v="449"/>
    <n v="873"/>
    <m/>
    <m/>
    <n v="449"/>
    <n v="0.51431844215349365"/>
  </r>
  <r>
    <x v="44"/>
    <n v="0.51081868762695404"/>
    <n v="16044448"/>
    <s v="YULEE HIGH SCHOOL"/>
    <m/>
    <m/>
    <n v="535"/>
    <n v="1212"/>
    <m/>
    <m/>
    <n v="535"/>
    <n v="0.4414191419141914"/>
  </r>
  <r>
    <x v="44"/>
    <n v="0.51081868762695404"/>
    <n v="34767"/>
    <s v="YULEE MIDDLE SCHOOL"/>
    <m/>
    <m/>
    <n v="508"/>
    <n v="953"/>
    <m/>
    <m/>
    <n v="508"/>
    <n v="0.53305351521511013"/>
  </r>
  <r>
    <x v="44"/>
    <n v="0.51081868762695404"/>
    <n v="34885"/>
    <s v="YULEE PRIMARY SCHOOL"/>
    <m/>
    <m/>
    <n v="544"/>
    <n v="1000"/>
    <m/>
    <m/>
    <n v="544"/>
    <n v="0.54400000000000004"/>
  </r>
  <r>
    <x v="45"/>
    <n v="0.45434028362582951"/>
    <n v="35657"/>
    <s v="ADDIE R. LEWIS SCHOOL"/>
    <m/>
    <m/>
    <n v="278"/>
    <n v="614"/>
    <m/>
    <m/>
    <n v="278"/>
    <n v="0.45276872964169379"/>
  </r>
  <r>
    <x v="45"/>
    <n v="0.45434028362582951"/>
    <n v="16022600"/>
    <s v="ADJUDICATED YOUTH FACILITY"/>
    <m/>
    <m/>
    <n v="1"/>
    <n v="14"/>
    <m/>
    <m/>
    <n v="1"/>
    <n v="7.1428571428571425E-2"/>
  </r>
  <r>
    <x v="45"/>
    <n v="0.45434028362582951"/>
    <n v="212386"/>
    <s v="AMI KIDS EMERALD COAST"/>
    <m/>
    <m/>
    <n v="9"/>
    <n v="26"/>
    <m/>
    <m/>
    <n v="9"/>
    <n v="0.34615384615384615"/>
  </r>
  <r>
    <x v="45"/>
    <n v="0.45434028362582951"/>
    <n v="35600"/>
    <s v="ANNETTE P. EDWINS ELEMENTARY SCHOOL"/>
    <m/>
    <m/>
    <n v="344"/>
    <n v="459"/>
    <m/>
    <m/>
    <n v="344"/>
    <n v="0.74945533769063177"/>
  </r>
  <r>
    <x v="45"/>
    <n v="0.45434028362582951"/>
    <n v="35578"/>
    <s v="ANTIOCH ELEMENTARY SCHOOL"/>
    <m/>
    <m/>
    <n v="322"/>
    <n v="891"/>
    <m/>
    <m/>
    <n v="322"/>
    <n v="0.36139169472502808"/>
  </r>
  <r>
    <x v="45"/>
    <n v="0.45434028362582951"/>
    <n v="35558"/>
    <s v="BAKER SCHOOL"/>
    <m/>
    <m/>
    <n v="697"/>
    <n v="1392"/>
    <m/>
    <m/>
    <n v="697"/>
    <n v="0.50071839080459768"/>
  </r>
  <r>
    <x v="45"/>
    <n v="0.45434028362582951"/>
    <n v="35652"/>
    <s v="BLUEWATER ELEMENTARY SCHOOL"/>
    <m/>
    <m/>
    <n v="138"/>
    <n v="894"/>
    <m/>
    <m/>
    <n v="138"/>
    <n v="0.15436241610738255"/>
  </r>
  <r>
    <x v="45"/>
    <n v="0.45434028362582951"/>
    <n v="35572"/>
    <s v="BOB SIKES ELEMENTARY SCHOOL"/>
    <m/>
    <m/>
    <n v="365"/>
    <n v="756"/>
    <m/>
    <m/>
    <n v="365"/>
    <n v="0.48280423280423279"/>
  </r>
  <r>
    <x v="45"/>
    <n v="0.45434028362582951"/>
    <n v="35649"/>
    <s v="C. W. RUCKEL MIDDLE SCHOOL"/>
    <m/>
    <m/>
    <n v="210"/>
    <n v="1012"/>
    <m/>
    <m/>
    <n v="210"/>
    <n v="0.2075098814229249"/>
  </r>
  <r>
    <x v="45"/>
    <n v="0.45434028362582951"/>
    <n v="35590"/>
    <s v="CHOCTAWHATCHEE SENIOR HIGH SCHOOL"/>
    <m/>
    <m/>
    <n v="655"/>
    <n v="1615"/>
    <m/>
    <m/>
    <n v="655"/>
    <n v="0.40557275541795668"/>
  </r>
  <r>
    <x v="45"/>
    <n v="0.45434028362582951"/>
    <n v="35653"/>
    <s v="CLIFFORD MEIGS MIDDLE SCHOOL"/>
    <m/>
    <m/>
    <n v="289"/>
    <n v="576"/>
    <m/>
    <m/>
    <n v="289"/>
    <n v="0.50173611111111116"/>
  </r>
  <r>
    <x v="45"/>
    <n v="0.45434028362582951"/>
    <n v="35573"/>
    <s v="CRESTVIEW HIGH SCHOOL"/>
    <m/>
    <m/>
    <n v="769"/>
    <n v="1973"/>
    <m/>
    <m/>
    <n v="769"/>
    <n v="0.3897617840851495"/>
  </r>
  <r>
    <x v="45"/>
    <n v="0.45434028362582951"/>
    <n v="35577"/>
    <s v="DAVIDSON MIDDLE SCHOOL"/>
    <m/>
    <m/>
    <n v="501"/>
    <n v="952"/>
    <m/>
    <m/>
    <n v="501"/>
    <n v="0.52626050420168069"/>
  </r>
  <r>
    <x v="45"/>
    <n v="0.45434028362582951"/>
    <n v="35585"/>
    <s v="DESTIN ELEMENTARY SCHOOL"/>
    <m/>
    <m/>
    <n v="350"/>
    <n v="866"/>
    <m/>
    <m/>
    <n v="350"/>
    <n v="0.40415704387990764"/>
  </r>
  <r>
    <x v="45"/>
    <n v="0.45434028362582951"/>
    <n v="35583"/>
    <s v="DESTIN MIDDLE SCHOOL"/>
    <m/>
    <m/>
    <n v="203"/>
    <n v="707"/>
    <m/>
    <m/>
    <n v="203"/>
    <n v="0.28712871287128711"/>
  </r>
  <r>
    <x v="45"/>
    <n v="0.45434028362582951"/>
    <n v="35587"/>
    <s v="EGLIN ELEMENTARY SCHOOL"/>
    <m/>
    <m/>
    <n v="124"/>
    <n v="482"/>
    <m/>
    <m/>
    <n v="124"/>
    <n v="0.25726141078838172"/>
  </r>
  <r>
    <x v="45"/>
    <n v="0.45434028362582951"/>
    <n v="35602"/>
    <s v="ELLIOTT POINT ELEMENTARY SCHOOL"/>
    <m/>
    <m/>
    <n v="444"/>
    <n v="612"/>
    <m/>
    <m/>
    <n v="444"/>
    <n v="0.72549019607843135"/>
  </r>
  <r>
    <x v="45"/>
    <n v="0.45434028362582951"/>
    <n v="35622"/>
    <s v="FLOROSA ELEMENTARY SCHOOL"/>
    <m/>
    <m/>
    <n v="326"/>
    <n v="527"/>
    <m/>
    <m/>
    <n v="326"/>
    <n v="0.61859582542694502"/>
  </r>
  <r>
    <x v="45"/>
    <n v="0.45434028362582951"/>
    <n v="35599"/>
    <s v="FORT WALTON BEACH HIGH SCHOOL"/>
    <m/>
    <m/>
    <n v="588"/>
    <n v="1638"/>
    <m/>
    <m/>
    <n v="588"/>
    <n v="0.35897435897435898"/>
  </r>
  <r>
    <x v="45"/>
    <n v="0.45434028362582951"/>
    <n v="35651"/>
    <s v="JAMES E PLEW ELEMENTARY SCHOOL"/>
    <m/>
    <m/>
    <n v="255"/>
    <n v="778"/>
    <m/>
    <m/>
    <n v="255"/>
    <n v="0.32776349614395889"/>
  </r>
  <r>
    <x v="45"/>
    <n v="0.45434028362582951"/>
    <n v="35592"/>
    <s v="KENWOOD ELEMENTARY SCHOOL"/>
    <m/>
    <m/>
    <n v="391"/>
    <n v="645"/>
    <m/>
    <m/>
    <n v="391"/>
    <n v="0.60620155038759693"/>
  </r>
  <r>
    <x v="45"/>
    <n v="0.45434028362582951"/>
    <n v="35619"/>
    <s v="LAUREL HILL SCHOOL"/>
    <m/>
    <m/>
    <n v="267"/>
    <n v="395"/>
    <m/>
    <m/>
    <n v="267"/>
    <n v="0.67594936708860764"/>
  </r>
  <r>
    <x v="45"/>
    <n v="0.45434028362582951"/>
    <n v="16076471"/>
    <s v="LIZA JACKSON PREPARATORY SCHOOL"/>
    <m/>
    <m/>
    <n v="203"/>
    <n v="854"/>
    <m/>
    <m/>
    <n v="203"/>
    <n v="0.23770491803278687"/>
  </r>
  <r>
    <x v="45"/>
    <n v="0.45434028362582951"/>
    <n v="35654"/>
    <s v="LONGWOOD ELEMENTARY SCHOOL"/>
    <m/>
    <m/>
    <n v="483"/>
    <n v="651"/>
    <m/>
    <m/>
    <n v="483"/>
    <n v="0.74193548387096775"/>
  </r>
  <r>
    <x v="45"/>
    <n v="0.45434028362582951"/>
    <n v="35646"/>
    <s v="LULA J. EDGE ELEMENTARY SCHOOL"/>
    <m/>
    <m/>
    <n v="255"/>
    <n v="615"/>
    <m/>
    <m/>
    <n v="255"/>
    <n v="0.41463414634146339"/>
  </r>
  <r>
    <x v="45"/>
    <n v="0.45434028362582951"/>
    <n v="35623"/>
    <s v="MARY ESTHER ELEMENTARY SCHOOL"/>
    <m/>
    <m/>
    <n v="381"/>
    <n v="577"/>
    <m/>
    <m/>
    <n v="381"/>
    <n v="0.66031195840554591"/>
  </r>
  <r>
    <x v="45"/>
    <n v="0.45434028362582951"/>
    <n v="35598"/>
    <s v="MAX BRUNER JUNIOR MIDDLE SCHOOL"/>
    <m/>
    <m/>
    <n v="461"/>
    <n v="755"/>
    <m/>
    <m/>
    <n v="461"/>
    <n v="0.61059602649006628"/>
  </r>
  <r>
    <x v="45"/>
    <n v="0.45434028362582951"/>
    <n v="35648"/>
    <s v="NICEVILLE SENIOR HIGH SCHOOL"/>
    <m/>
    <m/>
    <n v="301"/>
    <n v="1977"/>
    <m/>
    <m/>
    <n v="301"/>
    <n v="0.152250885179565"/>
  </r>
  <r>
    <x v="45"/>
    <n v="0.45434028362582951"/>
    <n v="35575"/>
    <s v="NORTHWOOD ELEMENTARY SCHOOL"/>
    <m/>
    <m/>
    <n v="447"/>
    <n v="776"/>
    <m/>
    <m/>
    <n v="447"/>
    <n v="0.5760309278350515"/>
  </r>
  <r>
    <x v="45"/>
    <n v="0.45434028362582951"/>
    <n v="202924"/>
    <s v="OKALOOSA ACADEMY"/>
    <m/>
    <m/>
    <n v="245"/>
    <n v="305"/>
    <m/>
    <m/>
    <n v="245"/>
    <n v="0.80327868852459017"/>
  </r>
  <r>
    <x v="45"/>
    <n v="0.45434028362582951"/>
    <n v="215234"/>
    <s v="OKALOOSA REGIONAL DETENTION"/>
    <m/>
    <m/>
    <n v="8"/>
    <n v="19"/>
    <m/>
    <m/>
    <n v="8"/>
    <n v="0.42105263157894735"/>
  </r>
  <r>
    <x v="45"/>
    <n v="0.45434028362582951"/>
    <n v="16071326"/>
    <s v="OKALOOSA STEMM CENTER"/>
    <m/>
    <m/>
    <n v="34"/>
    <n v="195"/>
    <m/>
    <m/>
    <n v="34"/>
    <n v="0.17435897435897435"/>
  </r>
  <r>
    <x v="45"/>
    <n v="0.45434028362582951"/>
    <n v="210811"/>
    <s v="OKALOOSA YOUTH ACADEMY"/>
    <m/>
    <m/>
    <m/>
    <n v="73"/>
    <m/>
    <m/>
    <n v="0"/>
    <n v="0"/>
  </r>
  <r>
    <x v="45"/>
    <n v="0.45434028362582951"/>
    <n v="215233"/>
    <s v="OKALOOSA YOUTH DEVELOPMENT CENTER"/>
    <m/>
    <m/>
    <m/>
    <n v="47"/>
    <m/>
    <m/>
    <n v="0"/>
    <n v="0"/>
  </r>
  <r>
    <x v="45"/>
    <n v="0.45434028362582951"/>
    <n v="16056094"/>
    <s v="RICHBOURG SCHOOL"/>
    <m/>
    <m/>
    <n v="36"/>
    <n v="72"/>
    <m/>
    <m/>
    <n v="36"/>
    <n v="0.5"/>
  </r>
  <r>
    <x v="45"/>
    <n v="0.45434028362582951"/>
    <n v="16052974"/>
    <s v="RIVERSIDE ELEMENTARY SCHOOL"/>
    <m/>
    <m/>
    <n v="523"/>
    <n v="855"/>
    <m/>
    <m/>
    <n v="523"/>
    <n v="0.61169590643274852"/>
  </r>
  <r>
    <x v="45"/>
    <n v="0.45434028362582951"/>
    <n v="35655"/>
    <s v="SHALIMAR ELEMENTARY SCHOOL"/>
    <m/>
    <m/>
    <n v="441"/>
    <n v="660"/>
    <m/>
    <m/>
    <n v="441"/>
    <n v="0.66818181818181821"/>
  </r>
  <r>
    <x v="45"/>
    <n v="0.45434028362582951"/>
    <n v="16052976"/>
    <s v="SHOAL RIVER MIDDLE SCHOOL"/>
    <m/>
    <m/>
    <n v="403"/>
    <n v="839"/>
    <m/>
    <m/>
    <n v="403"/>
    <n v="0.48033373063170443"/>
  </r>
  <r>
    <x v="45"/>
    <n v="0.45434028362582951"/>
    <n v="35597"/>
    <s v="SILVER SANDS-EXCEP. CHILDREN"/>
    <m/>
    <m/>
    <n v="83"/>
    <n v="137"/>
    <m/>
    <m/>
    <n v="83"/>
    <n v="0.6058394160583942"/>
  </r>
  <r>
    <x v="45"/>
    <n v="0.45434028362582951"/>
    <n v="16056095"/>
    <s v="SOUTHSIDE CENTER"/>
    <m/>
    <m/>
    <n v="185"/>
    <n v="346"/>
    <m/>
    <m/>
    <n v="185"/>
    <n v="0.53468208092485547"/>
  </r>
  <r>
    <x v="45"/>
    <n v="0.45434028362582951"/>
    <n v="35591"/>
    <s v="W. C. PRYOR MIDDLE SCHOOL"/>
    <m/>
    <m/>
    <n v="420"/>
    <n v="607"/>
    <m/>
    <m/>
    <n v="420"/>
    <n v="0.69192751235584848"/>
  </r>
  <r>
    <x v="45"/>
    <n v="0.45434028362582951"/>
    <n v="35582"/>
    <s v="WALKER ELEMENTARY SCHOOL"/>
    <m/>
    <m/>
    <n v="543"/>
    <n v="841"/>
    <m/>
    <m/>
    <n v="543"/>
    <n v="0.64565992865636146"/>
  </r>
  <r>
    <x v="45"/>
    <n v="0.45434028362582951"/>
    <n v="35594"/>
    <s v="WRIGHT ELEMENTARY SCHOOL"/>
    <m/>
    <m/>
    <n v="510"/>
    <n v="662"/>
    <m/>
    <m/>
    <n v="510"/>
    <n v="0.77039274924471302"/>
  </r>
  <r>
    <x v="46"/>
    <n v="0.78970775095298607"/>
    <n v="38846"/>
    <s v="CENTRAL ELEMENTARY SCHOOL"/>
    <m/>
    <m/>
    <n v="531"/>
    <n v="602"/>
    <m/>
    <m/>
    <n v="531"/>
    <n v="0.88205980066445178"/>
  </r>
  <r>
    <x v="46"/>
    <n v="0.78970775095298607"/>
    <n v="38845"/>
    <s v="EVERGLADES ELEMENTARY SCHOOL"/>
    <m/>
    <m/>
    <n v="603"/>
    <n v="674"/>
    <m/>
    <m/>
    <n v="603"/>
    <n v="0.89465875370919878"/>
  </r>
  <r>
    <x v="46"/>
    <n v="0.78970775095298607"/>
    <n v="38840"/>
    <s v="NORTH ELEMENTARY SCHOOL"/>
    <m/>
    <m/>
    <n v="499"/>
    <n v="647"/>
    <m/>
    <m/>
    <n v="499"/>
    <n v="0.77125193199381759"/>
  </r>
  <r>
    <x v="46"/>
    <n v="0.78970775095298607"/>
    <n v="16063148"/>
    <s v="OKEECHOBEE ACHIEVEMENT ACADEMY"/>
    <m/>
    <m/>
    <n v="125"/>
    <n v="162"/>
    <m/>
    <m/>
    <n v="125"/>
    <n v="0.77160493827160492"/>
  </r>
  <r>
    <x v="46"/>
    <n v="0.78970775095298607"/>
    <n v="16081931"/>
    <s v="OKEECHOBEE DISTRICT OFFICE"/>
    <m/>
    <m/>
    <m/>
    <s v="0"/>
    <m/>
    <m/>
    <n v="0"/>
    <n v="0"/>
  </r>
  <r>
    <x v="46"/>
    <n v="0.78970775095298607"/>
    <n v="38847"/>
    <s v="OKEECHOBEE FRESHMAN CAMPUS"/>
    <m/>
    <m/>
    <m/>
    <n v="0"/>
    <m/>
    <m/>
    <n v="0"/>
    <n v="0"/>
  </r>
  <r>
    <x v="46"/>
    <n v="0.78970775095298607"/>
    <n v="38839"/>
    <s v="OKEECHOBEE HIGH SCHOOL"/>
    <m/>
    <m/>
    <n v="1204"/>
    <n v="1755"/>
    <m/>
    <m/>
    <n v="1204"/>
    <n v="0.68603988603988608"/>
  </r>
  <r>
    <x v="46"/>
    <n v="0.78970775095298607"/>
    <n v="38851"/>
    <s v="OSCEOLA MIDDLE SCHOOL"/>
    <m/>
    <m/>
    <n v="512"/>
    <n v="670"/>
    <m/>
    <m/>
    <n v="512"/>
    <n v="0.76417910447761195"/>
  </r>
  <r>
    <x v="46"/>
    <n v="0.78970775095298607"/>
    <n v="38843"/>
    <s v="SEMINOLE ELEMENTARY SCHOOL"/>
    <m/>
    <m/>
    <n v="602"/>
    <n v="655"/>
    <m/>
    <m/>
    <n v="602"/>
    <n v="0.91908396946564885"/>
  </r>
  <r>
    <x v="46"/>
    <n v="0.78970775095298607"/>
    <n v="224050"/>
    <s v="SOUTH ELEMENTARY SCHOOL"/>
    <m/>
    <m/>
    <n v="341"/>
    <n v="460"/>
    <m/>
    <m/>
    <n v="341"/>
    <n v="0.74130434782608701"/>
  </r>
  <r>
    <x v="46"/>
    <n v="0.78970775095298607"/>
    <n v="38841"/>
    <s v="YEARLING MIDDLE SCHOOL"/>
    <m/>
    <m/>
    <n v="555"/>
    <n v="671"/>
    <m/>
    <m/>
    <n v="555"/>
    <n v="0.82712369597615498"/>
  </r>
  <r>
    <x v="47"/>
    <n v="0.38094301842471529"/>
    <n v="16055842"/>
    <s v="ACCELERATION ACADEMY"/>
    <m/>
    <m/>
    <m/>
    <n v="232"/>
    <m/>
    <m/>
    <n v="0"/>
    <n v="0"/>
  </r>
  <r>
    <x v="47"/>
    <n v="0.38094301842471529"/>
    <n v="16072317"/>
    <s v="ACCELERATION ACADEMY WEST"/>
    <m/>
    <m/>
    <m/>
    <n v="172"/>
    <m/>
    <m/>
    <n v="0"/>
    <n v="0"/>
  </r>
  <r>
    <x v="47"/>
    <n v="0.38094301842471529"/>
    <n v="213267"/>
    <s v="ADDICTIONS RECEIVING FACILITY"/>
    <m/>
    <m/>
    <m/>
    <s v="*"/>
    <m/>
    <m/>
    <n v="0"/>
    <n v="0"/>
  </r>
  <r>
    <x v="47"/>
    <n v="0.38094301842471529"/>
    <n v="35973"/>
    <s v="ALOMA ELEMENTARY"/>
    <m/>
    <m/>
    <n v="379"/>
    <n v="547"/>
    <m/>
    <m/>
    <n v="379"/>
    <n v="0.69287020109689212"/>
  </r>
  <r>
    <x v="47"/>
    <n v="0.38094301842471529"/>
    <n v="16050087"/>
    <s v="ALOMA HIGH CHARTER"/>
    <m/>
    <m/>
    <n v="5"/>
    <n v="500"/>
    <m/>
    <m/>
    <n v="5"/>
    <n v="0.01"/>
  </r>
  <r>
    <x v="47"/>
    <n v="0.38094301842471529"/>
    <n v="16033382"/>
    <s v="ANDOVER ELEMENTARY"/>
    <m/>
    <m/>
    <n v="468"/>
    <n v="801"/>
    <m/>
    <m/>
    <n v="468"/>
    <n v="0.5842696629213483"/>
  </r>
  <r>
    <x v="47"/>
    <n v="0.38094301842471529"/>
    <n v="35809"/>
    <s v="APOPKA ELEMENTARY"/>
    <m/>
    <m/>
    <n v="577"/>
    <n v="781"/>
    <m/>
    <m/>
    <n v="577"/>
    <n v="0.73879641485275294"/>
  </r>
  <r>
    <x v="47"/>
    <n v="0.38094301842471529"/>
    <n v="35812"/>
    <s v="APOPKA HIGH"/>
    <m/>
    <m/>
    <n v="1824"/>
    <n v="3147"/>
    <m/>
    <m/>
    <n v="1824"/>
    <n v="0.57959961868446142"/>
  </r>
  <r>
    <x v="47"/>
    <n v="0.38094301842471529"/>
    <n v="35815"/>
    <s v="APOPKA MIDDLE"/>
    <m/>
    <m/>
    <n v="770"/>
    <n v="1095"/>
    <m/>
    <m/>
    <n v="770"/>
    <n v="0.70319634703196343"/>
  </r>
  <r>
    <x v="47"/>
    <n v="0.38094301842471529"/>
    <n v="36094"/>
    <s v="ARBOR RIDGE K-8"/>
    <m/>
    <m/>
    <n v="406"/>
    <n v="759"/>
    <m/>
    <m/>
    <n v="406"/>
    <n v="0.53491436100131751"/>
  </r>
  <r>
    <x v="47"/>
    <n v="0.38094301842471529"/>
    <n v="16072677"/>
    <s v="ASPIRE ACADEMY CHARTER"/>
    <m/>
    <m/>
    <n v="106"/>
    <n v="121"/>
    <m/>
    <m/>
    <n v="106"/>
    <n v="0.87603305785123964"/>
  </r>
  <r>
    <x v="47"/>
    <n v="0.38094301842471529"/>
    <n v="35998"/>
    <s v="AUDUBON PARK ELEMENTARY"/>
    <m/>
    <m/>
    <n v="435"/>
    <n v="1208"/>
    <m/>
    <m/>
    <n v="435"/>
    <n v="0.36009933774834435"/>
  </r>
  <r>
    <x v="47"/>
    <n v="0.38094301842471529"/>
    <n v="229025"/>
    <s v="AVALON ELEMENTARY"/>
    <m/>
    <m/>
    <n v="249"/>
    <n v="949"/>
    <m/>
    <m/>
    <n v="249"/>
    <n v="0.2623814541622761"/>
  </r>
  <r>
    <x v="47"/>
    <n v="0.38094301842471529"/>
    <n v="16038017"/>
    <s v="AVALON MIDDLE"/>
    <m/>
    <m/>
    <n v="767"/>
    <n v="1869"/>
    <m/>
    <m/>
    <n v="767"/>
    <n v="0.41037988228999467"/>
  </r>
  <r>
    <x v="47"/>
    <n v="0.38094301842471529"/>
    <n v="16045317"/>
    <s v="AVALON TECH"/>
    <m/>
    <m/>
    <m/>
    <n v="0"/>
    <m/>
    <m/>
    <n v="0"/>
    <n v="0"/>
  </r>
  <r>
    <x v="47"/>
    <n v="0.38094301842471529"/>
    <n v="36039"/>
    <s v="AZALEA PARK ELEMENTARY"/>
    <m/>
    <m/>
    <m/>
    <n v="579"/>
    <m/>
    <m/>
    <n v="0"/>
    <n v="0"/>
  </r>
  <r>
    <x v="47"/>
    <n v="0.38094301842471529"/>
    <n v="36152"/>
    <s v="BAY MEADOWS ELEMENTARY"/>
    <m/>
    <m/>
    <n v="223"/>
    <n v="600"/>
    <m/>
    <m/>
    <n v="223"/>
    <n v="0.37166666666666665"/>
  </r>
  <r>
    <x v="47"/>
    <n v="0.38094301842471529"/>
    <n v="36038"/>
    <s v="BETA"/>
    <m/>
    <m/>
    <n v="134"/>
    <n v="152"/>
    <m/>
    <m/>
    <n v="134"/>
    <n v="0.88157894736842102"/>
  </r>
  <r>
    <x v="47"/>
    <n v="0.38094301842471529"/>
    <n v="16083825"/>
    <s v="BITHLO COMM PARK"/>
    <m/>
    <m/>
    <m/>
    <n v="0"/>
    <m/>
    <m/>
    <n v="0"/>
    <n v="0"/>
  </r>
  <r>
    <x v="47"/>
    <n v="0.38094301842471529"/>
    <n v="36031"/>
    <s v="BLANKNER K-8"/>
    <m/>
    <m/>
    <n v="415"/>
    <n v="1078"/>
    <m/>
    <m/>
    <n v="415"/>
    <n v="0.38497217068645639"/>
  </r>
  <r>
    <x v="47"/>
    <n v="0.38094301842471529"/>
    <n v="36138"/>
    <s v="BONNEVILLE ELEMENTARY"/>
    <m/>
    <m/>
    <m/>
    <n v="603"/>
    <m/>
    <m/>
    <n v="0"/>
    <n v="0"/>
  </r>
  <r>
    <x v="47"/>
    <n v="0.38094301842471529"/>
    <n v="16045322"/>
    <s v="BRIDGEWATER MIDDLE"/>
    <m/>
    <m/>
    <n v="462"/>
    <n v="1559"/>
    <m/>
    <m/>
    <n v="462"/>
    <n v="0.29634381013470174"/>
  </r>
  <r>
    <x v="47"/>
    <n v="0.38094301842471529"/>
    <n v="35974"/>
    <s v="BROOKSHIRE ELEMENTARY"/>
    <m/>
    <m/>
    <n v="266"/>
    <n v="618"/>
    <m/>
    <m/>
    <n v="266"/>
    <n v="0.43042071197411003"/>
  </r>
  <r>
    <x v="47"/>
    <n v="0.38094301842471529"/>
    <n v="229026"/>
    <s v="CAMELOT ELEMENTARY"/>
    <m/>
    <m/>
    <n v="358"/>
    <n v="623"/>
    <m/>
    <m/>
    <n v="358"/>
    <n v="0.57463884430176571"/>
  </r>
  <r>
    <x v="47"/>
    <n v="0.38094301842471529"/>
    <n v="36086"/>
    <s v="CARVER MIDDLE"/>
    <m/>
    <m/>
    <m/>
    <n v="717"/>
    <n v="2014"/>
    <n v="0.71640000000000004"/>
    <n v="717"/>
    <n v="1"/>
  </r>
  <r>
    <x v="47"/>
    <n v="0.38094301842471529"/>
    <n v="16038015"/>
    <s v="CASTLE CREEK ELEMENTARY"/>
    <m/>
    <m/>
    <n v="658"/>
    <n v="866"/>
    <m/>
    <m/>
    <n v="658"/>
    <n v="0.75981524249422627"/>
  </r>
  <r>
    <x v="47"/>
    <n v="0.38094301842471529"/>
    <n v="36024"/>
    <s v="CATALINA ELEMENTARY"/>
    <m/>
    <m/>
    <m/>
    <n v="705"/>
    <n v="2014"/>
    <n v="0.71640000000000004"/>
    <n v="705"/>
    <n v="1"/>
  </r>
  <r>
    <x v="47"/>
    <n v="0.38094301842471529"/>
    <n v="16062064"/>
    <s v="CENTRAL FLORIDA LEADERSHIP ACADEMY CHARTER"/>
    <m/>
    <m/>
    <n v="148"/>
    <n v="237"/>
    <m/>
    <m/>
    <n v="148"/>
    <n v="0.62447257383966248"/>
  </r>
  <r>
    <x v="47"/>
    <n v="0.38094301842471529"/>
    <n v="225525"/>
    <s v="CHAIN OF LAKES MIDDLE"/>
    <m/>
    <m/>
    <n v="884"/>
    <n v="1310"/>
    <m/>
    <m/>
    <n v="884"/>
    <n v="0.67480916030534355"/>
  </r>
  <r>
    <x v="47"/>
    <n v="0.38094301842471529"/>
    <n v="16050086"/>
    <s v="CHANCERY HIGH CHARTER"/>
    <m/>
    <m/>
    <m/>
    <n v="470"/>
    <m/>
    <m/>
    <n v="0"/>
    <n v="0"/>
  </r>
  <r>
    <x v="47"/>
    <n v="0.38094301842471529"/>
    <n v="36049"/>
    <s v="CHENEY ELEMENTARY"/>
    <m/>
    <m/>
    <m/>
    <n v="545"/>
    <m/>
    <m/>
    <n v="0"/>
    <n v="0"/>
  </r>
  <r>
    <x v="47"/>
    <n v="0.38094301842471529"/>
    <n v="35997"/>
    <s v="CHEROKEE"/>
    <m/>
    <m/>
    <n v="33"/>
    <n v="46"/>
    <m/>
    <m/>
    <n v="33"/>
    <n v="0.71739130434782605"/>
  </r>
  <r>
    <x v="47"/>
    <n v="0.38094301842471529"/>
    <n v="36124"/>
    <s v="CHICKASAW ELEMENTARY"/>
    <m/>
    <m/>
    <m/>
    <n v="731"/>
    <m/>
    <m/>
    <n v="0"/>
    <n v="0"/>
  </r>
  <r>
    <x v="47"/>
    <n v="0.38094301842471529"/>
    <n v="228350"/>
    <s v="CITRUS ELEMENTARY"/>
    <m/>
    <m/>
    <n v="463"/>
    <n v="602"/>
    <m/>
    <m/>
    <n v="463"/>
    <n v="0.76910299003322258"/>
  </r>
  <r>
    <x v="47"/>
    <n v="0.38094301842471529"/>
    <n v="35796"/>
    <s v="CLARCONA ELEMENTARY"/>
    <m/>
    <m/>
    <n v="740"/>
    <n v="1013"/>
    <m/>
    <m/>
    <n v="740"/>
    <n v="0.73050345508390913"/>
  </r>
  <r>
    <x v="47"/>
    <n v="0.38094301842471529"/>
    <n v="35813"/>
    <s v="CLAY SPRINGS ELEMENTARY"/>
    <m/>
    <m/>
    <n v="511"/>
    <n v="739"/>
    <m/>
    <m/>
    <n v="511"/>
    <n v="0.69147496617050064"/>
  </r>
  <r>
    <x v="47"/>
    <n v="0.38094301842471529"/>
    <n v="36046"/>
    <s v="COLONIAL HIGH"/>
    <m/>
    <m/>
    <m/>
    <n v="3581"/>
    <m/>
    <m/>
    <n v="0"/>
    <n v="0"/>
  </r>
  <r>
    <x v="47"/>
    <n v="0.38094301842471529"/>
    <n v="36145"/>
    <s v="COLUMBIA ELEMENTARY"/>
    <m/>
    <m/>
    <n v="577"/>
    <n v="1040"/>
    <m/>
    <m/>
    <n v="577"/>
    <n v="0.55480769230769234"/>
  </r>
  <r>
    <x v="47"/>
    <n v="0.38094301842471529"/>
    <n v="36091"/>
    <s v="CONWAY ELEMENTARY"/>
    <m/>
    <m/>
    <m/>
    <n v="534"/>
    <m/>
    <m/>
    <n v="0"/>
    <n v="0"/>
  </r>
  <r>
    <x v="47"/>
    <n v="0.38094301842471529"/>
    <n v="36092"/>
    <s v="CONWAY MIDDLE"/>
    <m/>
    <m/>
    <n v="693"/>
    <n v="1002"/>
    <m/>
    <m/>
    <n v="693"/>
    <n v="0.69161676646706582"/>
  </r>
  <r>
    <x v="47"/>
    <n v="0.38094301842471529"/>
    <n v="157244"/>
    <s v="CORNER LAKE MIDDLE"/>
    <m/>
    <m/>
    <n v="784"/>
    <n v="1276"/>
    <m/>
    <m/>
    <n v="784"/>
    <n v="0.61442006269592475"/>
  </r>
  <r>
    <x v="47"/>
    <n v="0.38094301842471529"/>
    <n v="16061797"/>
    <s v="CORNERSTONE ACADEMY CHARTER"/>
    <m/>
    <m/>
    <m/>
    <n v="942"/>
    <m/>
    <m/>
    <n v="0"/>
    <n v="0"/>
  </r>
  <r>
    <x v="47"/>
    <n v="0.38094301842471529"/>
    <n v="36127"/>
    <s v="CYPRESS CREEK HIGH"/>
    <m/>
    <m/>
    <n v="2347"/>
    <n v="3159"/>
    <m/>
    <m/>
    <n v="2347"/>
    <n v="0.74295663184552074"/>
  </r>
  <r>
    <x v="47"/>
    <n v="0.38094301842471529"/>
    <n v="36128"/>
    <s v="CYPRESS PARK ELEMENTARY"/>
    <m/>
    <m/>
    <m/>
    <n v="270"/>
    <m/>
    <m/>
    <n v="0"/>
    <n v="0"/>
  </r>
  <r>
    <x v="47"/>
    <n v="0.38094301842471529"/>
    <n v="36136"/>
    <s v="CYPRESS SPRINGS ELEMENTARY"/>
    <m/>
    <m/>
    <n v="395"/>
    <n v="791"/>
    <m/>
    <m/>
    <n v="395"/>
    <n v="0.4993678887484197"/>
  </r>
  <r>
    <x v="47"/>
    <n v="0.38094301842471529"/>
    <n v="36135"/>
    <s v="DEERWOOD ELEMENTARY"/>
    <m/>
    <m/>
    <n v="267"/>
    <n v="455"/>
    <m/>
    <m/>
    <n v="267"/>
    <n v="0.58681318681318684"/>
  </r>
  <r>
    <x v="47"/>
    <n v="0.38094301842471529"/>
    <n v="16083823"/>
    <s v="DEVEREUX TREATMENT PROGRAM"/>
    <m/>
    <m/>
    <m/>
    <n v="15"/>
    <m/>
    <m/>
    <n v="0"/>
    <n v="0"/>
  </r>
  <r>
    <x v="47"/>
    <n v="0.38094301842471529"/>
    <n v="38788"/>
    <s v="DILLARD STREET ELEMENTARY"/>
    <m/>
    <m/>
    <n v="521"/>
    <n v="722"/>
    <m/>
    <m/>
    <n v="521"/>
    <n v="0.72160664819944598"/>
  </r>
  <r>
    <x v="47"/>
    <n v="0.38094301842471529"/>
    <n v="36140"/>
    <s v="DISCOVERY MIDDLE"/>
    <m/>
    <m/>
    <n v="382"/>
    <n v="886"/>
    <m/>
    <m/>
    <n v="382"/>
    <n v="0.43115124153498874"/>
  </r>
  <r>
    <x v="47"/>
    <n v="0.38094301842471529"/>
    <n v="35885"/>
    <s v="DOMMERICH ELEMENTARY"/>
    <m/>
    <m/>
    <n v="145"/>
    <n v="605"/>
    <m/>
    <m/>
    <n v="145"/>
    <n v="0.23966942148760331"/>
  </r>
  <r>
    <x v="47"/>
    <n v="0.38094301842471529"/>
    <n v="36089"/>
    <s v="DOVER SHORES ELEMENTARY"/>
    <m/>
    <m/>
    <m/>
    <n v="568"/>
    <m/>
    <m/>
    <n v="0"/>
    <n v="0"/>
  </r>
  <r>
    <x v="47"/>
    <n v="0.38094301842471529"/>
    <n v="16083824"/>
    <s v="DR. JAMES R SMITH CENTER"/>
    <m/>
    <m/>
    <m/>
    <n v="0"/>
    <m/>
    <m/>
    <n v="0"/>
    <n v="0"/>
  </r>
  <r>
    <x v="47"/>
    <n v="0.38094301842471529"/>
    <n v="36111"/>
    <s v="DR. PHILLIPS ELEMENTARY"/>
    <m/>
    <m/>
    <n v="245"/>
    <n v="651"/>
    <m/>
    <m/>
    <n v="245"/>
    <n v="0.37634408602150538"/>
  </r>
  <r>
    <x v="47"/>
    <n v="0.38094301842471529"/>
    <n v="36114"/>
    <s v="DR. PHILLIPS HIGH"/>
    <m/>
    <m/>
    <n v="1840"/>
    <n v="3580"/>
    <m/>
    <m/>
    <n v="1840"/>
    <n v="0.51396648044692739"/>
  </r>
  <r>
    <x v="47"/>
    <n v="0.38094301842471529"/>
    <n v="35811"/>
    <s v="DREAM LAKE ELEMENTARY"/>
    <m/>
    <m/>
    <n v="584"/>
    <n v="786"/>
    <m/>
    <m/>
    <n v="584"/>
    <n v="0.74300254452926207"/>
  </r>
  <r>
    <x v="47"/>
    <n v="0.38094301842471529"/>
    <n v="36139"/>
    <s v="DURRANCE ELEMENTARY"/>
    <m/>
    <m/>
    <m/>
    <n v="358"/>
    <m/>
    <m/>
    <n v="0"/>
    <n v="0"/>
  </r>
  <r>
    <x v="47"/>
    <n v="0.38094301842471529"/>
    <n v="17000002"/>
    <s v="EAGLE CREEK ELEMENARY"/>
    <m/>
    <m/>
    <n v="281"/>
    <n v="946"/>
    <m/>
    <m/>
    <n v="281"/>
    <n v="0.29704016913319237"/>
  </r>
  <r>
    <x v="47"/>
    <n v="0.38094301842471529"/>
    <n v="16025345"/>
    <s v="EAGLES NEST ELEMENTARY"/>
    <m/>
    <m/>
    <m/>
    <n v="762"/>
    <m/>
    <m/>
    <n v="0"/>
    <n v="0"/>
  </r>
  <r>
    <x v="47"/>
    <n v="0.38094301842471529"/>
    <n v="16033381"/>
    <s v="EAST LAKE ELEMENTARY"/>
    <m/>
    <m/>
    <n v="367"/>
    <n v="752"/>
    <m/>
    <m/>
    <n v="367"/>
    <n v="0.48803191489361702"/>
  </r>
  <r>
    <x v="47"/>
    <n v="0.38094301842471529"/>
    <n v="16055545"/>
    <s v="EAST RIVER HIGH"/>
    <m/>
    <m/>
    <n v="1269"/>
    <n v="2096"/>
    <m/>
    <m/>
    <n v="1269"/>
    <n v="0.60543893129770987"/>
  </r>
  <r>
    <x v="47"/>
    <n v="0.38094301842471529"/>
    <n v="36087"/>
    <s v="ECCLESTON ELEMENTARY"/>
    <m/>
    <m/>
    <m/>
    <n v="684"/>
    <n v="2014"/>
    <n v="0.71640000000000004"/>
    <n v="684"/>
    <n v="1"/>
  </r>
  <r>
    <x v="47"/>
    <n v="0.38094301842471529"/>
    <n v="36010"/>
    <s v="EDGEWATER HIGH"/>
    <m/>
    <m/>
    <n v="1204"/>
    <n v="1924"/>
    <m/>
    <m/>
    <n v="1204"/>
    <n v="0.62577962577962576"/>
  </r>
  <r>
    <x v="47"/>
    <n v="0.38094301842471529"/>
    <n v="228349"/>
    <s v="ENDEAVOR ELEMENTARY"/>
    <m/>
    <m/>
    <n v="459"/>
    <n v="679"/>
    <m/>
    <m/>
    <n v="459"/>
    <n v="0.67599410898379975"/>
  </r>
  <r>
    <x v="47"/>
    <n v="0.38094301842471529"/>
    <n v="36048"/>
    <s v="ENGELWOOD ELEMENTARY"/>
    <m/>
    <m/>
    <m/>
    <n v="584"/>
    <n v="2014"/>
    <n v="0.71640000000000004"/>
    <n v="584"/>
    <n v="1"/>
  </r>
  <r>
    <x v="47"/>
    <n v="0.38094301842471529"/>
    <n v="17000003"/>
    <s v="ESTEEM ACADEMY"/>
    <m/>
    <m/>
    <m/>
    <n v="21"/>
    <m/>
    <m/>
    <n v="0"/>
    <n v="0"/>
  </r>
  <r>
    <x v="47"/>
    <n v="0.38094301842471529"/>
    <n v="35999"/>
    <s v="FERN CREEK ELEMENTARY"/>
    <m/>
    <m/>
    <m/>
    <n v="286"/>
    <m/>
    <m/>
    <n v="0"/>
    <n v="0"/>
  </r>
  <r>
    <x v="47"/>
    <n v="0.38094301842471529"/>
    <n v="16065989"/>
    <s v="FORSYTH WOODS ELEMENTARY"/>
    <m/>
    <m/>
    <m/>
    <n v="739"/>
    <n v="2014"/>
    <n v="0.71640000000000004"/>
    <n v="739"/>
    <n v="1"/>
  </r>
  <r>
    <x v="47"/>
    <n v="0.38094301842471529"/>
    <n v="12889705"/>
    <s v="FREEDOM HIGH"/>
    <m/>
    <m/>
    <n v="1984"/>
    <n v="3438"/>
    <m/>
    <m/>
    <n v="1984"/>
    <n v="0.57707969749854571"/>
  </r>
  <r>
    <x v="47"/>
    <n v="0.38094301842471529"/>
    <n v="16033384"/>
    <s v="FREEDOM MIDDLE"/>
    <m/>
    <m/>
    <m/>
    <n v="1034"/>
    <m/>
    <m/>
    <n v="0"/>
    <n v="0"/>
  </r>
  <r>
    <x v="47"/>
    <n v="0.38094301842471529"/>
    <n v="36059"/>
    <s v="GATEWAY"/>
    <m/>
    <m/>
    <n v="37"/>
    <n v="54"/>
    <m/>
    <m/>
    <n v="37"/>
    <n v="0.68518518518518523"/>
  </r>
  <r>
    <x v="47"/>
    <n v="0.38094301842471529"/>
    <n v="35967"/>
    <s v="GLENRIDGE MIDDLE"/>
    <m/>
    <m/>
    <n v="671"/>
    <n v="1450"/>
    <m/>
    <m/>
    <n v="671"/>
    <n v="0.46275862068965518"/>
  </r>
  <r>
    <x v="47"/>
    <n v="0.38094301842471529"/>
    <n v="38786"/>
    <s v="GOTHA MIDDLE"/>
    <m/>
    <m/>
    <n v="718"/>
    <n v="1266"/>
    <m/>
    <m/>
    <n v="718"/>
    <n v="0.56714060031595581"/>
  </r>
  <r>
    <x v="47"/>
    <n v="0.38094301842471529"/>
    <n v="36021"/>
    <s v="GRAND AVENUE PRIMARY LEARNING CENTER"/>
    <m/>
    <m/>
    <m/>
    <n v="227"/>
    <n v="2014"/>
    <n v="0.71640000000000004"/>
    <n v="227"/>
    <n v="1"/>
  </r>
  <r>
    <x v="47"/>
    <n v="0.38094301842471529"/>
    <n v="36104"/>
    <s v="HIAWASSEE ELEMENTARY"/>
    <m/>
    <m/>
    <m/>
    <n v="789"/>
    <m/>
    <m/>
    <n v="0"/>
    <n v="0"/>
  </r>
  <r>
    <x v="47"/>
    <n v="0.38094301842471529"/>
    <n v="36143"/>
    <s v="HIDDEN OAKS ELEMENTARY"/>
    <m/>
    <m/>
    <n v="280"/>
    <n v="407"/>
    <m/>
    <m/>
    <n v="280"/>
    <n v="0.68796068796068799"/>
  </r>
  <r>
    <x v="47"/>
    <n v="0.38094301842471529"/>
    <n v="36001"/>
    <s v="HILLCREST ELEMENTARY"/>
    <m/>
    <m/>
    <n v="157"/>
    <n v="432"/>
    <m/>
    <m/>
    <n v="157"/>
    <n v="0.36342592592592593"/>
  </r>
  <r>
    <x v="47"/>
    <n v="0.38094301842471529"/>
    <n v="204790"/>
    <s v="HOSPITAL HOMEBOUND"/>
    <m/>
    <m/>
    <n v="79"/>
    <n v="220"/>
    <m/>
    <m/>
    <n v="79"/>
    <n v="0.35909090909090907"/>
  </r>
  <r>
    <x v="47"/>
    <n v="0.38094301842471529"/>
    <n v="35994"/>
    <s v="HOWARD MIDDLE"/>
    <m/>
    <m/>
    <n v="627"/>
    <n v="1026"/>
    <m/>
    <m/>
    <n v="627"/>
    <n v="0.61111111111111116"/>
  </r>
  <r>
    <x v="47"/>
    <n v="0.38094301842471529"/>
    <n v="35891"/>
    <s v="HUNGERFORD ELEMENTARY"/>
    <m/>
    <m/>
    <m/>
    <n v="285"/>
    <n v="2014"/>
    <n v="0.71640000000000004"/>
    <n v="285"/>
    <n v="1"/>
  </r>
  <r>
    <x v="47"/>
    <n v="0.38094301842471529"/>
    <n v="36154"/>
    <s v="HUNTERS CREEK ELEMENTARY"/>
    <m/>
    <m/>
    <n v="446"/>
    <n v="888"/>
    <m/>
    <m/>
    <n v="446"/>
    <n v="0.50225225225225223"/>
  </r>
  <r>
    <x v="47"/>
    <n v="0.38094301842471529"/>
    <n v="36153"/>
    <s v="HUNTERS CREEK MIDDLE"/>
    <m/>
    <m/>
    <n v="582"/>
    <n v="1205"/>
    <m/>
    <m/>
    <n v="582"/>
    <n v="0.48298755186721992"/>
  </r>
  <r>
    <x v="47"/>
    <n v="0.38094301842471529"/>
    <n v="17000001"/>
    <s v="INDEPENDENCE ELEMENTARY"/>
    <m/>
    <m/>
    <n v="233"/>
    <n v="785"/>
    <m/>
    <m/>
    <n v="233"/>
    <n v="0.29681528662420381"/>
  </r>
  <r>
    <x v="47"/>
    <n v="0.38094301842471529"/>
    <n v="16069057"/>
    <s v="INNOVATIONS MIDDLE CHARTER"/>
    <m/>
    <m/>
    <m/>
    <n v="219"/>
    <m/>
    <m/>
    <n v="0"/>
    <n v="0"/>
  </r>
  <r>
    <x v="47"/>
    <n v="0.38094301842471529"/>
    <n v="36084"/>
    <s v="IVEY LANE ELEMENTARY"/>
    <m/>
    <m/>
    <m/>
    <n v="337"/>
    <n v="2014"/>
    <n v="0.71640000000000004"/>
    <n v="337"/>
    <n v="1"/>
  </r>
  <r>
    <x v="47"/>
    <n v="0.38094301842471529"/>
    <n v="36155"/>
    <s v="JOHN YOUNG ELEMENTARY"/>
    <m/>
    <m/>
    <n v="529"/>
    <n v="734"/>
    <m/>
    <m/>
    <n v="529"/>
    <n v="0.72070844686648505"/>
  </r>
  <r>
    <x v="47"/>
    <n v="0.38094301842471529"/>
    <n v="36020"/>
    <s v="JONES HIGH"/>
    <m/>
    <m/>
    <m/>
    <n v="1191"/>
    <m/>
    <m/>
    <n v="0"/>
    <n v="0"/>
  </r>
  <r>
    <x v="47"/>
    <n v="0.38094301842471529"/>
    <n v="36076"/>
    <s v="JUDSON B WALKER MIDDLE"/>
    <m/>
    <m/>
    <m/>
    <n v="999"/>
    <m/>
    <m/>
    <n v="0"/>
    <n v="0"/>
  </r>
  <r>
    <x v="47"/>
    <n v="0.38094301842471529"/>
    <n v="36029"/>
    <s v="KALEY ELEMENTARY"/>
    <m/>
    <m/>
    <n v="178"/>
    <n v="220"/>
    <m/>
    <m/>
    <n v="178"/>
    <n v="0.80909090909090908"/>
  </r>
  <r>
    <x v="47"/>
    <n v="0.38094301842471529"/>
    <n v="16055547"/>
    <s v="KEENES CROSSING ELEMENTARY"/>
    <m/>
    <m/>
    <n v="235"/>
    <n v="893"/>
    <m/>
    <m/>
    <n v="235"/>
    <n v="0.26315789473684209"/>
  </r>
  <r>
    <x v="47"/>
    <n v="0.38094301842471529"/>
    <n v="16072870"/>
    <s v="KIDS COMMUNITY COLLEGE CHARTER"/>
    <m/>
    <m/>
    <n v="89"/>
    <n v="241"/>
    <m/>
    <m/>
    <n v="89"/>
    <n v="0.36929460580912865"/>
  </r>
  <r>
    <x v="47"/>
    <n v="0.38094301842471529"/>
    <n v="35964"/>
    <s v="KILLARNEY ELEMENTARY"/>
    <m/>
    <m/>
    <m/>
    <n v="419"/>
    <m/>
    <m/>
    <n v="0"/>
    <n v="0"/>
  </r>
  <r>
    <x v="47"/>
    <n v="0.38094301842471529"/>
    <n v="36028"/>
    <s v="LAKE COMO ELEMENTARY"/>
    <m/>
    <m/>
    <n v="181"/>
    <n v="236"/>
    <m/>
    <m/>
    <n v="181"/>
    <n v="0.76694915254237284"/>
  </r>
  <r>
    <x v="47"/>
    <n v="0.38094301842471529"/>
    <n v="178443"/>
    <s v="LAKE EOLA CHARTER"/>
    <m/>
    <m/>
    <m/>
    <n v="219"/>
    <m/>
    <m/>
    <n v="0"/>
    <n v="0"/>
  </r>
  <r>
    <x v="47"/>
    <n v="0.38094301842471529"/>
    <n v="204033"/>
    <s v="LAKE GEM ELEMENTARY"/>
    <m/>
    <m/>
    <m/>
    <n v="833"/>
    <m/>
    <m/>
    <n v="0"/>
    <n v="0"/>
  </r>
  <r>
    <x v="47"/>
    <n v="0.38094301842471529"/>
    <n v="206027"/>
    <s v="LAKE GEORGE ELEMENTARY"/>
    <m/>
    <m/>
    <n v="485"/>
    <n v="617"/>
    <m/>
    <m/>
    <n v="485"/>
    <n v="0.78606158833063211"/>
  </r>
  <r>
    <x v="47"/>
    <n v="0.38094301842471529"/>
    <n v="16055546"/>
    <s v="LAKE NONA HIGH"/>
    <m/>
    <m/>
    <n v="1070"/>
    <n v="2527"/>
    <m/>
    <m/>
    <n v="1070"/>
    <n v="0.42342698852394145"/>
  </r>
  <r>
    <x v="47"/>
    <n v="0.38094301842471529"/>
    <n v="16065990"/>
    <s v="LAKE NONA MIDDLE"/>
    <m/>
    <m/>
    <n v="811"/>
    <n v="1801"/>
    <m/>
    <m/>
    <n v="811"/>
    <n v="0.45030538589672403"/>
  </r>
  <r>
    <x v="47"/>
    <n v="0.38094301842471529"/>
    <n v="36013"/>
    <s v="LAKE SILVER ELEMENTARY"/>
    <m/>
    <m/>
    <n v="442"/>
    <n v="680"/>
    <m/>
    <m/>
    <n v="442"/>
    <n v="0.65"/>
  </r>
  <r>
    <x v="47"/>
    <n v="0.38094301842471529"/>
    <n v="35888"/>
    <s v="LAKE SYBELIA ELEMENTARY"/>
    <m/>
    <m/>
    <n v="351"/>
    <n v="621"/>
    <m/>
    <m/>
    <n v="351"/>
    <n v="0.56521739130434778"/>
  </r>
  <r>
    <x v="47"/>
    <n v="0.38094301842471529"/>
    <n v="36082"/>
    <s v="LAKE WESTON ELEMENTARY"/>
    <m/>
    <m/>
    <m/>
    <n v="579"/>
    <n v="2014"/>
    <n v="0.71640000000000004"/>
    <n v="579"/>
    <n v="1"/>
  </r>
  <r>
    <x v="47"/>
    <n v="0.38094301842471529"/>
    <n v="38797"/>
    <s v="LAKE WHITNEY ELEMENTARY"/>
    <m/>
    <m/>
    <n v="95"/>
    <n v="557"/>
    <m/>
    <m/>
    <n v="95"/>
    <n v="0.17055655296229802"/>
  </r>
  <r>
    <x v="47"/>
    <n v="0.38094301842471529"/>
    <n v="35972"/>
    <s v="LAKEMONT ELEMENTARY"/>
    <m/>
    <m/>
    <n v="347"/>
    <n v="639"/>
    <m/>
    <m/>
    <n v="347"/>
    <n v="0.54303599374021905"/>
  </r>
  <r>
    <x v="47"/>
    <n v="0.38094301842471529"/>
    <n v="38787"/>
    <s v="LAKEVIEW MIDDLE"/>
    <m/>
    <m/>
    <n v="657"/>
    <n v="1033"/>
    <m/>
    <m/>
    <n v="657"/>
    <n v="0.63601161665053241"/>
  </r>
  <r>
    <x v="47"/>
    <n v="0.38094301842471529"/>
    <n v="204035"/>
    <s v="LAKEVILLE ELEMENTARY"/>
    <m/>
    <m/>
    <n v="656"/>
    <n v="847"/>
    <m/>
    <m/>
    <n v="656"/>
    <n v="0.77449822904368359"/>
  </r>
  <r>
    <x v="47"/>
    <n v="0.38094301842471529"/>
    <n v="36077"/>
    <s v="LANCASTER ELEMENTARY"/>
    <m/>
    <m/>
    <m/>
    <n v="905"/>
    <m/>
    <m/>
    <n v="0"/>
    <n v="0"/>
  </r>
  <r>
    <x v="47"/>
    <n v="0.38094301842471529"/>
    <n v="225523"/>
    <s v="LAWTON CHILES ELEMENTARY"/>
    <m/>
    <m/>
    <m/>
    <n v="648"/>
    <m/>
    <m/>
    <n v="0"/>
    <n v="0"/>
  </r>
  <r>
    <x v="47"/>
    <n v="0.38094301842471529"/>
    <n v="16033385"/>
    <s v="LEGACY MIDDLE"/>
    <m/>
    <m/>
    <n v="639"/>
    <n v="932"/>
    <m/>
    <m/>
    <n v="639"/>
    <n v="0.68562231759656656"/>
  </r>
  <r>
    <x v="47"/>
    <n v="0.38094301842471529"/>
    <n v="36142"/>
    <s v="LIBERTY MIDDLE"/>
    <m/>
    <m/>
    <m/>
    <n v="1038"/>
    <m/>
    <m/>
    <n v="0"/>
    <n v="0"/>
  </r>
  <r>
    <x v="47"/>
    <n v="0.38094301842471529"/>
    <n v="36132"/>
    <s v="LITTLE RIVER ELEMENTARY"/>
    <m/>
    <m/>
    <m/>
    <n v="452"/>
    <m/>
    <m/>
    <n v="0"/>
    <n v="0"/>
  </r>
  <r>
    <x v="47"/>
    <n v="0.38094301842471529"/>
    <n v="36080"/>
    <s v="LOCKHART ELEMENTARY"/>
    <m/>
    <m/>
    <m/>
    <n v="448"/>
    <m/>
    <m/>
    <n v="0"/>
    <n v="0"/>
  </r>
  <r>
    <x v="47"/>
    <n v="0.38094301842471529"/>
    <n v="36081"/>
    <s v="LOCKHART MIDDLE"/>
    <m/>
    <m/>
    <m/>
    <n v="776"/>
    <m/>
    <m/>
    <n v="0"/>
    <n v="0"/>
  </r>
  <r>
    <x v="47"/>
    <n v="0.38094301842471529"/>
    <n v="35788"/>
    <s v="LOVELL ELEMENTARY"/>
    <m/>
    <m/>
    <m/>
    <n v="731"/>
    <m/>
    <m/>
    <n v="0"/>
    <n v="0"/>
  </r>
  <r>
    <x v="47"/>
    <n v="0.38094301842471529"/>
    <n v="36105"/>
    <s v="MAGNOLIA"/>
    <m/>
    <m/>
    <m/>
    <n v="139"/>
    <m/>
    <m/>
    <n v="0"/>
    <n v="0"/>
  </r>
  <r>
    <x v="47"/>
    <n v="0.38094301842471529"/>
    <n v="35884"/>
    <s v="MAITLAND MIDDLE"/>
    <m/>
    <m/>
    <n v="390"/>
    <n v="931"/>
    <m/>
    <m/>
    <n v="390"/>
    <n v="0.41890440386680988"/>
  </r>
  <r>
    <x v="47"/>
    <n v="0.38094301842471529"/>
    <n v="36058"/>
    <s v="MAYNARD EVANS HIGH"/>
    <m/>
    <m/>
    <m/>
    <n v="2533"/>
    <m/>
    <m/>
    <n v="0"/>
    <n v="0"/>
  </r>
  <r>
    <x v="47"/>
    <n v="0.38094301842471529"/>
    <n v="36130"/>
    <s v="MEADOW WOODS ELEMENTARY"/>
    <m/>
    <m/>
    <m/>
    <n v="512"/>
    <m/>
    <m/>
    <n v="0"/>
    <n v="0"/>
  </r>
  <r>
    <x v="47"/>
    <n v="0.38094301842471529"/>
    <n v="204480"/>
    <s v="MEADOW WOODS MIDDLE"/>
    <m/>
    <m/>
    <m/>
    <n v="966"/>
    <m/>
    <m/>
    <n v="0"/>
    <n v="0"/>
  </r>
  <r>
    <x v="47"/>
    <n v="0.38094301842471529"/>
    <n v="36053"/>
    <s v="MEADOWBROOK MIDDLE"/>
    <m/>
    <m/>
    <m/>
    <n v="1060"/>
    <m/>
    <m/>
    <n v="0"/>
    <n v="0"/>
  </r>
  <r>
    <x v="47"/>
    <n v="0.38094301842471529"/>
    <n v="36025"/>
    <s v="MEMORIAL MIDDLE"/>
    <m/>
    <m/>
    <m/>
    <n v="813"/>
    <n v="2014"/>
    <n v="0.71640000000000004"/>
    <n v="813"/>
    <n v="1"/>
  </r>
  <r>
    <x v="47"/>
    <n v="0.38094301842471529"/>
    <n v="36150"/>
    <s v="METROWEST ELEMENTARY"/>
    <m/>
    <m/>
    <n v="1095"/>
    <n v="1583"/>
    <m/>
    <m/>
    <n v="1095"/>
    <n v="0.69172457359444095"/>
  </r>
  <r>
    <x v="47"/>
    <n v="0.38094301842471529"/>
    <n v="36122"/>
    <s v="MICHAEL MCCOY ELEMENTARY"/>
    <m/>
    <m/>
    <m/>
    <n v="692"/>
    <m/>
    <m/>
    <n v="0"/>
    <n v="0"/>
  </r>
  <r>
    <x v="47"/>
    <n v="0.38094301842471529"/>
    <n v="36067"/>
    <s v="MID FLORIDA TECH"/>
    <m/>
    <m/>
    <m/>
    <n v="0"/>
    <m/>
    <m/>
    <n v="0"/>
    <n v="0"/>
  </r>
  <r>
    <x v="47"/>
    <n v="0.38094301842471529"/>
    <n v="16045320"/>
    <s v="MILLENNIA ELEMENTARY"/>
    <m/>
    <m/>
    <m/>
    <n v="1100"/>
    <m/>
    <m/>
    <n v="0"/>
    <n v="0"/>
  </r>
  <r>
    <x v="47"/>
    <n v="0.38094301842471529"/>
    <n v="36060"/>
    <s v="MOLLIE RAY ELEMENTARY"/>
    <m/>
    <m/>
    <m/>
    <n v="516"/>
    <n v="2014"/>
    <n v="0.71640000000000004"/>
    <n v="516"/>
    <n v="1"/>
  </r>
  <r>
    <x v="47"/>
    <n v="0.38094301842471529"/>
    <n v="16045318"/>
    <s v="MOSS PARK ELEMENTARY"/>
    <m/>
    <m/>
    <n v="290"/>
    <n v="812"/>
    <m/>
    <m/>
    <n v="290"/>
    <n v="0.35714285714285715"/>
  </r>
  <r>
    <x v="47"/>
    <n v="0.38094301842471529"/>
    <n v="231521"/>
    <s v="NAP FORD COMMUNITY CHARTER"/>
    <m/>
    <m/>
    <n v="111"/>
    <n v="139"/>
    <m/>
    <m/>
    <n v="111"/>
    <n v="0.79856115107913672"/>
  </r>
  <r>
    <x v="47"/>
    <n v="0.38094301842471529"/>
    <n v="170577"/>
    <s v="NORTHLAKE PARK COMMUNITY ELEMENTARY"/>
    <m/>
    <m/>
    <n v="333"/>
    <n v="857"/>
    <m/>
    <m/>
    <n v="333"/>
    <n v="0.38856476079346558"/>
  </r>
  <r>
    <x v="47"/>
    <n v="0.38094301842471529"/>
    <n v="36146"/>
    <s v="OAK HILL ELEMENTARY"/>
    <m/>
    <m/>
    <m/>
    <n v="495"/>
    <m/>
    <m/>
    <n v="0"/>
    <n v="0"/>
  </r>
  <r>
    <x v="47"/>
    <n v="0.38094301842471529"/>
    <n v="36074"/>
    <s v="OAK RIDGE HIGH"/>
    <m/>
    <m/>
    <m/>
    <n v="2950"/>
    <m/>
    <m/>
    <n v="0"/>
    <n v="0"/>
  </r>
  <r>
    <x v="47"/>
    <n v="0.38094301842471529"/>
    <n v="227275"/>
    <s v="OAKLAND AVENUE CHARTER"/>
    <m/>
    <m/>
    <m/>
    <n v="529"/>
    <m/>
    <m/>
    <n v="0"/>
    <n v="0"/>
  </r>
  <r>
    <x v="47"/>
    <n v="0.38094301842471529"/>
    <n v="225522"/>
    <s v="OAKSHIRE ELEMENTARY"/>
    <m/>
    <m/>
    <m/>
    <n v="695"/>
    <m/>
    <m/>
    <n v="0"/>
    <n v="0"/>
  </r>
  <r>
    <x v="47"/>
    <n v="0.38094301842471529"/>
    <n v="16080389"/>
    <s v="OASIS PREPARATORY ACADEMY CHARTER"/>
    <m/>
    <m/>
    <m/>
    <n v="186"/>
    <m/>
    <m/>
    <n v="0"/>
    <n v="0"/>
  </r>
  <r>
    <x v="47"/>
    <n v="0.38094301842471529"/>
    <n v="38771"/>
    <s v="OCOEE ELEMENTARY"/>
    <m/>
    <m/>
    <m/>
    <n v="812"/>
    <m/>
    <m/>
    <n v="0"/>
    <n v="0"/>
  </r>
  <r>
    <x v="47"/>
    <n v="0.38094301842471529"/>
    <n v="16033383"/>
    <s v="OCOEE HIGH"/>
    <m/>
    <m/>
    <n v="1569"/>
    <n v="2355"/>
    <m/>
    <m/>
    <n v="1569"/>
    <n v="0.66624203821656047"/>
  </r>
  <r>
    <x v="47"/>
    <n v="0.38094301842471529"/>
    <n v="38772"/>
    <s v="OCOEE MIDDLE"/>
    <m/>
    <m/>
    <n v="982"/>
    <n v="1409"/>
    <m/>
    <m/>
    <n v="982"/>
    <n v="0.69694819020581977"/>
  </r>
  <r>
    <x v="47"/>
    <n v="0.38094301842471529"/>
    <n v="229028"/>
    <s v="ODYSSEY MIDDLE"/>
    <m/>
    <m/>
    <n v="569"/>
    <n v="871"/>
    <m/>
    <m/>
    <n v="569"/>
    <n v="0.65327210103329503"/>
  </r>
  <r>
    <x v="47"/>
    <n v="0.38094301842471529"/>
    <n v="229029"/>
    <s v="OLYMPIA HIGH"/>
    <m/>
    <m/>
    <n v="1423"/>
    <n v="3194"/>
    <m/>
    <m/>
    <n v="1423"/>
    <n v="0.44552285535378833"/>
  </r>
  <r>
    <x v="47"/>
    <n v="0.38094301842471529"/>
    <n v="36017"/>
    <s v="ORANGE CENTER ELEMENTARY"/>
    <m/>
    <m/>
    <m/>
    <n v="251"/>
    <n v="2014"/>
    <n v="0.71640000000000004"/>
    <n v="251"/>
    <n v="1"/>
  </r>
  <r>
    <x v="47"/>
    <n v="0.38094301842471529"/>
    <n v="16077239"/>
    <s v="ORANGE COUNTY PREPARATORY ACADEMY CHARTER"/>
    <m/>
    <m/>
    <n v="144"/>
    <n v="428"/>
    <m/>
    <m/>
    <n v="144"/>
    <n v="0.3364485981308411"/>
  </r>
  <r>
    <x v="47"/>
    <n v="0.38094301842471529"/>
    <n v="16076503"/>
    <s v="ORLANDO SCIENCE ELEMENTARY CHARTER"/>
    <m/>
    <m/>
    <n v="192"/>
    <n v="490"/>
    <m/>
    <m/>
    <n v="192"/>
    <n v="0.39183673469387753"/>
  </r>
  <r>
    <x v="47"/>
    <n v="0.38094301842471529"/>
    <n v="16068656"/>
    <s v="ORLANDO SCIENCE MIDDLE HIGH CHARTER"/>
    <m/>
    <m/>
    <n v="204"/>
    <n v="566"/>
    <m/>
    <m/>
    <n v="204"/>
    <n v="0.36042402826855124"/>
  </r>
  <r>
    <x v="47"/>
    <n v="0.38094301842471529"/>
    <n v="35991"/>
    <s v="ORLANDO TECH"/>
    <m/>
    <m/>
    <m/>
    <n v="0"/>
    <m/>
    <m/>
    <n v="0"/>
    <n v="0"/>
  </r>
  <r>
    <x v="47"/>
    <n v="0.38094301842471529"/>
    <n v="36147"/>
    <s v="ORLO VISTA ELEMENTARY"/>
    <m/>
    <m/>
    <m/>
    <n v="646"/>
    <m/>
    <m/>
    <n v="0"/>
    <n v="0"/>
  </r>
  <r>
    <x v="47"/>
    <n v="0.38094301842471529"/>
    <n v="35995"/>
    <s v="PACE CENTER FOR GIRLS"/>
    <m/>
    <m/>
    <m/>
    <n v="25"/>
    <m/>
    <m/>
    <n v="0"/>
    <n v="0"/>
  </r>
  <r>
    <x v="47"/>
    <n v="0.38094301842471529"/>
    <n v="36116"/>
    <s v="PALM LAKE ELEMENTARY"/>
    <m/>
    <m/>
    <n v="259"/>
    <n v="570"/>
    <m/>
    <m/>
    <n v="259"/>
    <n v="0.45438596491228073"/>
  </r>
  <r>
    <x v="47"/>
    <n v="0.38094301842471529"/>
    <n v="36159"/>
    <s v="PALMETTO ELEMENTARY"/>
    <m/>
    <m/>
    <m/>
    <n v="1228"/>
    <m/>
    <m/>
    <n v="0"/>
    <n v="0"/>
  </r>
  <r>
    <x v="47"/>
    <n v="0.38094301842471529"/>
    <n v="16066951"/>
    <s v="PASSPORT CHARTER"/>
    <m/>
    <m/>
    <n v="142"/>
    <n v="174"/>
    <m/>
    <m/>
    <n v="142"/>
    <n v="0.81609195402298851"/>
  </r>
  <r>
    <x v="47"/>
    <n v="0.38094301842471529"/>
    <n v="36036"/>
    <s v="PERSHING ELEMENTARY"/>
    <m/>
    <m/>
    <n v="196"/>
    <n v="303"/>
    <m/>
    <m/>
    <n v="196"/>
    <n v="0.64686468646864681"/>
  </r>
  <r>
    <x v="47"/>
    <n v="0.38094301842471529"/>
    <n v="35794"/>
    <s v="PHYLLIS WHEATLEY ELEMENTARY"/>
    <m/>
    <m/>
    <m/>
    <n v="446"/>
    <n v="2014"/>
    <n v="0.71640000000000004"/>
    <n v="446"/>
    <n v="1"/>
  </r>
  <r>
    <x v="47"/>
    <n v="0.38094301842471529"/>
    <n v="35795"/>
    <s v="PIEDMONT LAKES MIDDLE"/>
    <m/>
    <m/>
    <m/>
    <n v="1145"/>
    <m/>
    <m/>
    <n v="0"/>
    <n v="0"/>
  </r>
  <r>
    <x v="47"/>
    <n v="0.38094301842471529"/>
    <n v="36125"/>
    <s v="PINAR ELEMENTARY"/>
    <m/>
    <m/>
    <m/>
    <n v="441"/>
    <m/>
    <m/>
    <n v="0"/>
    <n v="0"/>
  </r>
  <r>
    <x v="47"/>
    <n v="0.38094301842471529"/>
    <n v="36069"/>
    <s v="PINE CASTLE ELEMENTARY"/>
    <m/>
    <m/>
    <n v="1"/>
    <n v="336"/>
    <m/>
    <m/>
    <n v="1"/>
    <n v="2.976190476190476E-3"/>
  </r>
  <r>
    <x v="47"/>
    <n v="0.38094301842471529"/>
    <n v="36061"/>
    <s v="PINE HILLS ELEMENTARY"/>
    <m/>
    <m/>
    <m/>
    <n v="664"/>
    <n v="2014"/>
    <n v="0.71640000000000004"/>
    <n v="664"/>
    <n v="1"/>
  </r>
  <r>
    <x v="47"/>
    <n v="0.38094301842471529"/>
    <n v="16072605"/>
    <s v="PINECREST CREEK CHARTER"/>
    <m/>
    <m/>
    <n v="1"/>
    <n v="128"/>
    <m/>
    <m/>
    <n v="1"/>
    <n v="7.8125E-3"/>
  </r>
  <r>
    <x v="47"/>
    <n v="0.38094301842471529"/>
    <n v="16061796"/>
    <s v="PINECREST PREPARATORY CHARTER"/>
    <m/>
    <m/>
    <n v="56"/>
    <n v="234"/>
    <m/>
    <m/>
    <n v="56"/>
    <n v="0.23931623931623933"/>
  </r>
  <r>
    <x v="47"/>
    <n v="0.38094301842471529"/>
    <n v="36027"/>
    <s v="PINELOCH ELEMENTARY"/>
    <m/>
    <m/>
    <m/>
    <n v="890"/>
    <m/>
    <m/>
    <n v="0"/>
    <n v="0"/>
  </r>
  <r>
    <x v="47"/>
    <n v="0.38094301842471529"/>
    <n v="204036"/>
    <s v="PINEWOOD ELEMENTARY"/>
    <m/>
    <m/>
    <m/>
    <n v="586"/>
    <m/>
    <m/>
    <n v="0"/>
    <n v="0"/>
  </r>
  <r>
    <x v="47"/>
    <n v="0.38094301842471529"/>
    <n v="36015"/>
    <s v="PRINCETON ELEMENTARY"/>
    <m/>
    <m/>
    <n v="234"/>
    <n v="486"/>
    <m/>
    <m/>
    <n v="234"/>
    <n v="0.48148148148148145"/>
  </r>
  <r>
    <x v="47"/>
    <n v="0.38094301842471529"/>
    <n v="206009"/>
    <s v="PRINCETON HOUSE CHARTER"/>
    <m/>
    <m/>
    <m/>
    <n v="151"/>
    <m/>
    <m/>
    <n v="0"/>
    <n v="0"/>
  </r>
  <r>
    <x v="47"/>
    <n v="0.38094301842471529"/>
    <n v="16055848"/>
    <s v="PROJECT COMPASS"/>
    <m/>
    <m/>
    <n v="17"/>
    <n v="35"/>
    <m/>
    <m/>
    <n v="17"/>
    <n v="0.48571428571428571"/>
  </r>
  <r>
    <x v="47"/>
    <n v="0.38094301842471529"/>
    <n v="16045983"/>
    <s v="PROSPERITAS LEADERSHIP ACADEMY CHARTER"/>
    <m/>
    <m/>
    <n v="170"/>
    <n v="190"/>
    <m/>
    <m/>
    <n v="170"/>
    <n v="0.89473684210526316"/>
  </r>
  <r>
    <x v="47"/>
    <n v="0.38094301842471529"/>
    <n v="16074263"/>
    <s v="RENAISSANCE CHARTER SCHOOL AT CHICKASAW TRAIL"/>
    <m/>
    <m/>
    <n v="1"/>
    <n v="1055"/>
    <m/>
    <m/>
    <n v="1"/>
    <n v="9.4786729857819908E-4"/>
  </r>
  <r>
    <x v="47"/>
    <n v="0.38094301842471529"/>
    <n v="16074259"/>
    <s v="RENAISSANCE CHARTER SCHOOL AT HUNTERS CREEK"/>
    <m/>
    <m/>
    <n v="2"/>
    <n v="1031"/>
    <m/>
    <m/>
    <n v="2"/>
    <n v="1.9398642095053346E-3"/>
  </r>
  <r>
    <x v="47"/>
    <n v="0.38094301842471529"/>
    <n v="36055"/>
    <s v="RIDGEWOOD PARK ELEMENTARY"/>
    <m/>
    <m/>
    <m/>
    <n v="743"/>
    <n v="2014"/>
    <n v="0.71640000000000004"/>
    <n v="743"/>
    <n v="1"/>
  </r>
  <r>
    <x v="47"/>
    <n v="0.38094301842471529"/>
    <n v="204037"/>
    <s v="RIVERDALE ELEMENTARY"/>
    <m/>
    <m/>
    <m/>
    <n v="640"/>
    <m/>
    <m/>
    <n v="0"/>
    <n v="0"/>
  </r>
  <r>
    <x v="47"/>
    <n v="0.38094301842471529"/>
    <n v="36079"/>
    <s v="RIVERSIDE ELEMENTARY"/>
    <m/>
    <m/>
    <m/>
    <n v="653"/>
    <m/>
    <m/>
    <n v="0"/>
    <n v="0"/>
  </r>
  <r>
    <x v="47"/>
    <n v="0.38094301842471529"/>
    <n v="36009"/>
    <s v="ROBERT E LEE MIDDLE"/>
    <m/>
    <m/>
    <m/>
    <n v="943"/>
    <m/>
    <m/>
    <n v="0"/>
    <n v="0"/>
  </r>
  <r>
    <x v="47"/>
    <n v="0.38094301842471529"/>
    <n v="36106"/>
    <s v="ROBINSWOOD MIDDLE"/>
    <m/>
    <m/>
    <m/>
    <n v="1374"/>
    <m/>
    <m/>
    <n v="0"/>
    <n v="0"/>
  </r>
  <r>
    <x v="47"/>
    <n v="0.38094301842471529"/>
    <n v="36016"/>
    <s v="ROCK LAKE ELEMENTARY"/>
    <m/>
    <m/>
    <m/>
    <n v="257"/>
    <n v="2014"/>
    <n v="0.71640000000000004"/>
    <n v="257"/>
    <n v="1"/>
  </r>
  <r>
    <x v="47"/>
    <n v="0.38094301842471529"/>
    <n v="35816"/>
    <s v="ROCK SPRINGS ELEMENTARY"/>
    <m/>
    <m/>
    <n v="552"/>
    <n v="824"/>
    <m/>
    <m/>
    <n v="552"/>
    <n v="0.66990291262135926"/>
  </r>
  <r>
    <x v="47"/>
    <n v="0.38094301842471529"/>
    <n v="36054"/>
    <s v="ROLLING HILLS ELEMENTARY"/>
    <m/>
    <m/>
    <m/>
    <n v="663"/>
    <n v="2014"/>
    <n v="0.71640000000000004"/>
    <n v="663"/>
    <n v="1"/>
  </r>
  <r>
    <x v="47"/>
    <n v="0.38094301842471529"/>
    <n v="36052"/>
    <s v="ROSEMONT ELEMENTARY"/>
    <m/>
    <m/>
    <m/>
    <n v="888"/>
    <n v="2014"/>
    <n v="0.71640000000000004"/>
    <n v="888"/>
    <n v="1"/>
  </r>
  <r>
    <x v="47"/>
    <n v="0.38094301842471529"/>
    <n v="36066"/>
    <s v="SADLER ELEMENTARY"/>
    <m/>
    <m/>
    <m/>
    <n v="802"/>
    <m/>
    <m/>
    <n v="0"/>
    <n v="0"/>
  </r>
  <r>
    <x v="47"/>
    <n v="0.38094301842471529"/>
    <n v="16038019"/>
    <s v="SAND LAKE ELEMENTARY"/>
    <m/>
    <m/>
    <n v="279"/>
    <n v="589"/>
    <m/>
    <m/>
    <n v="279"/>
    <n v="0.47368421052631576"/>
  </r>
  <r>
    <x v="47"/>
    <n v="0.38094301842471529"/>
    <n v="16050088"/>
    <s v="SHEELER HIGH CHARTER"/>
    <m/>
    <m/>
    <n v="5"/>
    <n v="348"/>
    <m/>
    <m/>
    <n v="5"/>
    <n v="1.4367816091954023E-2"/>
  </r>
  <r>
    <x v="47"/>
    <n v="0.38094301842471529"/>
    <n v="36088"/>
    <s v="SHENANDOAH ELEMENTARY"/>
    <m/>
    <m/>
    <n v="347"/>
    <n v="600"/>
    <m/>
    <m/>
    <n v="347"/>
    <n v="0.57833333333333337"/>
  </r>
  <r>
    <x v="47"/>
    <n v="0.38094301842471529"/>
    <n v="36160"/>
    <s v="SHINGLE CREEK ELEMENTARY"/>
    <m/>
    <m/>
    <m/>
    <n v="1132"/>
    <m/>
    <m/>
    <n v="0"/>
    <n v="0"/>
  </r>
  <r>
    <x v="47"/>
    <n v="0.38094301842471529"/>
    <n v="36008"/>
    <s v="SILVER STAR CENTER"/>
    <m/>
    <m/>
    <n v="16"/>
    <n v="18"/>
    <m/>
    <m/>
    <n v="16"/>
    <n v="0.88888888888888884"/>
  </r>
  <r>
    <x v="47"/>
    <n v="0.38094301842471529"/>
    <n v="16055844"/>
    <s v="SIMON YOUTH FOUND ACAD AT OUTLET MKTPLCE"/>
    <m/>
    <m/>
    <n v="12"/>
    <n v="23"/>
    <m/>
    <m/>
    <n v="12"/>
    <n v="0.52173913043478259"/>
  </r>
  <r>
    <x v="47"/>
    <n v="0.38094301842471529"/>
    <n v="16038012"/>
    <s v="SOUTH CREEK MIDDLE"/>
    <m/>
    <m/>
    <m/>
    <n v="1005"/>
    <m/>
    <m/>
    <n v="0"/>
    <n v="0"/>
  </r>
  <r>
    <x v="47"/>
    <n v="0.38094301842471529"/>
    <n v="36110"/>
    <s v="SOUTHWEST MIDDLE"/>
    <m/>
    <m/>
    <n v="710"/>
    <n v="1340"/>
    <m/>
    <m/>
    <n v="710"/>
    <n v="0.52985074626865669"/>
  </r>
  <r>
    <x v="47"/>
    <n v="0.38094301842471529"/>
    <n v="36126"/>
    <s v="SOUTHWOOD ELEMENTARY"/>
    <m/>
    <m/>
    <n v="412"/>
    <n v="533"/>
    <m/>
    <m/>
    <n v="412"/>
    <n v="0.77298311444652912"/>
  </r>
  <r>
    <x v="47"/>
    <n v="0.38094301842471529"/>
    <n v="38770"/>
    <s v="SPRING LAKE ELEMENTARY"/>
    <m/>
    <m/>
    <m/>
    <n v="650"/>
    <m/>
    <m/>
    <n v="0"/>
    <n v="0"/>
  </r>
  <r>
    <x v="47"/>
    <n v="0.38094301842471529"/>
    <n v="16038018"/>
    <s v="STONE LAKES ELEMENTARY"/>
    <m/>
    <m/>
    <n v="300"/>
    <n v="972"/>
    <m/>
    <m/>
    <n v="300"/>
    <n v="0.30864197530864196"/>
  </r>
  <r>
    <x v="47"/>
    <n v="0.38094301842471529"/>
    <n v="36041"/>
    <s v="STONEWALL JACKSON MIDDLE"/>
    <m/>
    <m/>
    <m/>
    <n v="1127"/>
    <m/>
    <m/>
    <n v="0"/>
    <n v="0"/>
  </r>
  <r>
    <x v="47"/>
    <n v="0.38094301842471529"/>
    <n v="16072318"/>
    <s v="SUN BLAZE ELEMENTARY"/>
    <m/>
    <m/>
    <n v="433"/>
    <n v="896"/>
    <m/>
    <m/>
    <n v="433"/>
    <n v="0.48325892857142855"/>
  </r>
  <r>
    <x v="47"/>
    <n v="0.38094301842471529"/>
    <n v="16072314"/>
    <s v="SUNRIDGE ELEMENTARY"/>
    <m/>
    <m/>
    <n v="430"/>
    <n v="728"/>
    <m/>
    <m/>
    <n v="430"/>
    <n v="0.59065934065934067"/>
  </r>
  <r>
    <x v="47"/>
    <n v="0.38094301842471529"/>
    <n v="16072316"/>
    <s v="SUNRIDGE MIDDLE"/>
    <m/>
    <m/>
    <n v="380"/>
    <n v="1257"/>
    <m/>
    <m/>
    <n v="380"/>
    <n v="0.30230708035003978"/>
  </r>
  <r>
    <x v="47"/>
    <n v="0.38094301842471529"/>
    <n v="35992"/>
    <s v="SUNRISE ELEMENTARY"/>
    <m/>
    <m/>
    <n v="110"/>
    <n v="476"/>
    <m/>
    <m/>
    <n v="110"/>
    <n v="0.23109243697478993"/>
  </r>
  <r>
    <x v="47"/>
    <n v="0.38094301842471529"/>
    <n v="16045319"/>
    <s v="SUNSET PARK ELEMENTARY"/>
    <m/>
    <m/>
    <n v="316"/>
    <n v="1205"/>
    <m/>
    <m/>
    <n v="316"/>
    <n v="0.26224066390041495"/>
  </r>
  <r>
    <x v="47"/>
    <n v="0.38094301842471529"/>
    <n v="16074128"/>
    <s v="SUNSHINE HIGH CHARTER"/>
    <m/>
    <m/>
    <m/>
    <n v="556"/>
    <m/>
    <m/>
    <n v="0"/>
    <n v="0"/>
  </r>
  <r>
    <x v="47"/>
    <n v="0.38094301842471529"/>
    <n v="36118"/>
    <s v="TANGELO PARK ELEMENTARY"/>
    <m/>
    <m/>
    <m/>
    <n v="432"/>
    <m/>
    <m/>
    <n v="0"/>
    <n v="0"/>
  </r>
  <r>
    <x v="47"/>
    <n v="0.38094301842471529"/>
    <n v="232030"/>
    <s v="THORNEBROOKE ELEMENTARY"/>
    <m/>
    <m/>
    <n v="209"/>
    <n v="757"/>
    <m/>
    <m/>
    <n v="209"/>
    <n v="0.2760898282694848"/>
  </r>
  <r>
    <x v="47"/>
    <n v="0.38094301842471529"/>
    <n v="229027"/>
    <s v="THREE POINTS ELEMENTARY"/>
    <m/>
    <m/>
    <m/>
    <n v="617"/>
    <n v="2015"/>
    <n v="0.66090000000000004"/>
    <n v="617"/>
    <n v="1"/>
  </r>
  <r>
    <x v="47"/>
    <n v="0.38094301842471529"/>
    <n v="38789"/>
    <s v="TILDENVILLE ELEMENTARY"/>
    <m/>
    <m/>
    <n v="367"/>
    <n v="567"/>
    <m/>
    <m/>
    <n v="367"/>
    <n v="0.64726631393298062"/>
  </r>
  <r>
    <x v="47"/>
    <n v="0.38094301842471529"/>
    <n v="229030"/>
    <s v="TIMBER CREEK HIGH"/>
    <m/>
    <m/>
    <n v="1074"/>
    <n v="3270"/>
    <m/>
    <m/>
    <n v="1074"/>
    <n v="0.32844036697247708"/>
  </r>
  <r>
    <x v="47"/>
    <n v="0.38094301842471529"/>
    <n v="16049217"/>
    <s v="TIMBER LAKES ELEMENTARY"/>
    <m/>
    <m/>
    <n v="359"/>
    <n v="902"/>
    <m/>
    <m/>
    <n v="359"/>
    <n v="0.39800443458980045"/>
  </r>
  <r>
    <x v="47"/>
    <n v="0.38094301842471529"/>
    <n v="16055841"/>
    <s v="TRANSITION CENTER"/>
    <m/>
    <m/>
    <n v="231"/>
    <n v="273"/>
    <m/>
    <m/>
    <n v="231"/>
    <n v="0.84615384615384615"/>
  </r>
  <r>
    <x v="47"/>
    <n v="0.38094301842471529"/>
    <n v="16024696"/>
    <s v="UCP CHARTER"/>
    <m/>
    <m/>
    <n v="109"/>
    <n v="154"/>
    <m/>
    <m/>
    <n v="109"/>
    <n v="0.70779220779220775"/>
  </r>
  <r>
    <x v="47"/>
    <n v="0.38094301842471529"/>
    <n v="16068853"/>
    <s v="UCP TRANSITIONAL LEARNING ACADEMY HIGH CHARTER"/>
    <m/>
    <m/>
    <n v="31"/>
    <n v="65"/>
    <m/>
    <m/>
    <n v="31"/>
    <n v="0.47692307692307695"/>
  </r>
  <r>
    <x v="47"/>
    <n v="0.38094301842471529"/>
    <n v="36134"/>
    <s v="UNION PARK ELEMENTARY"/>
    <m/>
    <m/>
    <m/>
    <n v="454"/>
    <m/>
    <m/>
    <n v="0"/>
    <n v="0"/>
  </r>
  <r>
    <x v="47"/>
    <n v="0.38094301842471529"/>
    <n v="36097"/>
    <s v="UNION PARK MIDDLE"/>
    <m/>
    <m/>
    <m/>
    <n v="825"/>
    <m/>
    <m/>
    <n v="0"/>
    <n v="0"/>
  </r>
  <r>
    <x v="47"/>
    <n v="0.38094301842471529"/>
    <n v="36117"/>
    <s v="UNIVERSAL EDUCATION CENTER"/>
    <m/>
    <m/>
    <m/>
    <n v="12"/>
    <m/>
    <m/>
    <n v="0"/>
    <n v="0"/>
  </r>
  <r>
    <x v="47"/>
    <n v="0.38094301842471529"/>
    <n v="36137"/>
    <s v="UNIVERSITY BEHAVIORAL CENTER"/>
    <m/>
    <m/>
    <m/>
    <n v="42"/>
    <m/>
    <m/>
    <n v="0"/>
    <n v="0"/>
  </r>
  <r>
    <x v="47"/>
    <n v="0.38094301842471529"/>
    <n v="36095"/>
    <s v="UNIVERSITY HIGH"/>
    <m/>
    <m/>
    <n v="1838"/>
    <n v="3099"/>
    <m/>
    <m/>
    <n v="1838"/>
    <n v="0.59309454662794447"/>
  </r>
  <r>
    <x v="47"/>
    <n v="0.38094301842471529"/>
    <n v="36123"/>
    <s v="VENTURA ELEMENTARY"/>
    <m/>
    <m/>
    <m/>
    <n v="693"/>
    <m/>
    <m/>
    <n v="0"/>
    <n v="0"/>
  </r>
  <r>
    <x v="47"/>
    <n v="0.38094301842471529"/>
    <n v="36034"/>
    <s v="VILLAGE"/>
    <m/>
    <m/>
    <m/>
    <n v="12"/>
    <m/>
    <m/>
    <n v="0"/>
    <n v="0"/>
  </r>
  <r>
    <x v="47"/>
    <n v="0.38094301842471529"/>
    <n v="16038014"/>
    <s v="VISTA LAKES ELEMENTARY"/>
    <m/>
    <m/>
    <n v="460"/>
    <n v="833"/>
    <m/>
    <m/>
    <n v="460"/>
    <n v="0.55222088835534211"/>
  </r>
  <r>
    <x v="47"/>
    <n v="0.38094301842471529"/>
    <n v="36018"/>
    <s v="WASHINGTON SHORES ELEMENTARY"/>
    <m/>
    <m/>
    <m/>
    <n v="624"/>
    <n v="2014"/>
    <n v="0.71640000000000004"/>
    <n v="624"/>
    <n v="1"/>
  </r>
  <r>
    <x v="47"/>
    <n v="0.38094301842471529"/>
    <n v="36156"/>
    <s v="WATERBRIDGE ELEMENTARY"/>
    <m/>
    <m/>
    <m/>
    <n v="1174"/>
    <m/>
    <m/>
    <n v="0"/>
    <n v="0"/>
  </r>
  <r>
    <x v="47"/>
    <n v="0.38094301842471529"/>
    <n v="36141"/>
    <s v="WATERFORD ELEMENTARY"/>
    <m/>
    <m/>
    <n v="343"/>
    <n v="721"/>
    <m/>
    <m/>
    <n v="343"/>
    <n v="0.47572815533980584"/>
  </r>
  <r>
    <x v="47"/>
    <n v="0.38094301842471529"/>
    <n v="16045321"/>
    <s v="WEKIVA HIGH"/>
    <m/>
    <m/>
    <n v="1680"/>
    <n v="2350"/>
    <m/>
    <m/>
    <n v="1680"/>
    <n v="0.71489361702127663"/>
  </r>
  <r>
    <x v="47"/>
    <n v="0.38094301842471529"/>
    <n v="16025346"/>
    <s v="WEST CREEK ELEMENTARY"/>
    <m/>
    <m/>
    <n v="317"/>
    <n v="761"/>
    <m/>
    <m/>
    <n v="317"/>
    <n v="0.41655716162943496"/>
  </r>
  <r>
    <x v="47"/>
    <n v="0.38094301842471529"/>
    <n v="16025347"/>
    <s v="WEST OAKS ELEMENTARY"/>
    <m/>
    <m/>
    <m/>
    <n v="661"/>
    <m/>
    <m/>
    <n v="0"/>
    <n v="0"/>
  </r>
  <r>
    <x v="47"/>
    <n v="0.38094301842471529"/>
    <n v="38795"/>
    <s v="WEST ORANGE HIGH"/>
    <m/>
    <m/>
    <n v="1414"/>
    <n v="4123"/>
    <m/>
    <m/>
    <n v="1414"/>
    <n v="0.34295415959252973"/>
  </r>
  <r>
    <x v="47"/>
    <n v="0.38094301842471529"/>
    <n v="16049218"/>
    <s v="WESTBROOKE ELEMENTARY"/>
    <m/>
    <m/>
    <n v="279"/>
    <n v="670"/>
    <m/>
    <m/>
    <n v="279"/>
    <n v="0.41641791044776122"/>
  </r>
  <r>
    <x v="47"/>
    <n v="0.38094301842471529"/>
    <n v="36070"/>
    <s v="WESTRIDGE MIDDLE"/>
    <m/>
    <m/>
    <m/>
    <n v="1189"/>
    <m/>
    <m/>
    <n v="0"/>
    <n v="0"/>
  </r>
  <r>
    <x v="47"/>
    <n v="0.38094301842471529"/>
    <n v="16065991"/>
    <s v="WETHERBEE ELEMENTARY"/>
    <m/>
    <m/>
    <m/>
    <n v="932"/>
    <m/>
    <m/>
    <n v="0"/>
    <n v="0"/>
  </r>
  <r>
    <x v="47"/>
    <n v="0.38094301842471529"/>
    <n v="16033386"/>
    <s v="WHISPERING OAK ELEMENTARY SCHOOL"/>
    <m/>
    <m/>
    <n v="211"/>
    <n v="862"/>
    <m/>
    <m/>
    <n v="211"/>
    <n v="0.24477958236658934"/>
  </r>
  <r>
    <x v="47"/>
    <n v="0.38094301842471529"/>
    <n v="36151"/>
    <s v="WILLIAM FRANGUS ELEMENTARY"/>
    <m/>
    <m/>
    <m/>
    <n v="637"/>
    <m/>
    <m/>
    <n v="0"/>
    <n v="0"/>
  </r>
  <r>
    <x v="47"/>
    <n v="0.38094301842471529"/>
    <n v="36033"/>
    <s v="WILLIAM R BOONE HIGH"/>
    <m/>
    <m/>
    <n v="1413"/>
    <n v="2842"/>
    <m/>
    <m/>
    <n v="1413"/>
    <n v="0.49718508092892327"/>
  </r>
  <r>
    <x v="47"/>
    <n v="0.38094301842471529"/>
    <n v="38791"/>
    <s v="WILLIAM S MAXEY ELEMENTARY"/>
    <m/>
    <m/>
    <m/>
    <n v="297"/>
    <m/>
    <m/>
    <n v="0"/>
    <n v="0"/>
  </r>
  <r>
    <x v="47"/>
    <n v="0.38094301842471529"/>
    <n v="38785"/>
    <s v="WINDERMERE ELEMENTARY"/>
    <m/>
    <m/>
    <n v="87"/>
    <n v="710"/>
    <m/>
    <m/>
    <n v="87"/>
    <n v="0.12253521126760564"/>
  </r>
  <r>
    <x v="47"/>
    <n v="0.38094301842471529"/>
    <n v="36148"/>
    <s v="WINDY RIDGE K-8"/>
    <m/>
    <m/>
    <n v="605"/>
    <n v="1128"/>
    <m/>
    <m/>
    <n v="605"/>
    <n v="0.53634751773049649"/>
  </r>
  <r>
    <x v="47"/>
    <n v="0.38094301842471529"/>
    <n v="36078"/>
    <s v="WINEGARD ELEMENTARY"/>
    <m/>
    <m/>
    <m/>
    <n v="798"/>
    <m/>
    <m/>
    <n v="0"/>
    <n v="0"/>
  </r>
  <r>
    <x v="47"/>
    <n v="0.38094301842471529"/>
    <n v="35976"/>
    <s v="WINTER PARK EDUCATION CENTER"/>
    <m/>
    <m/>
    <n v="6"/>
    <n v="13"/>
    <m/>
    <m/>
    <n v="6"/>
    <n v="0.46153846153846156"/>
  </r>
  <r>
    <x v="47"/>
    <n v="0.38094301842471529"/>
    <n v="35975"/>
    <s v="WINTER PARK HIGH"/>
    <m/>
    <m/>
    <n v="1101"/>
    <n v="3142"/>
    <m/>
    <m/>
    <n v="1101"/>
    <n v="0.35041374920432844"/>
  </r>
  <r>
    <x v="47"/>
    <n v="0.38094301842471529"/>
    <n v="35962"/>
    <s v="WINTER PARK TECH"/>
    <m/>
    <m/>
    <m/>
    <n v="0"/>
    <m/>
    <m/>
    <n v="0"/>
    <n v="0"/>
  </r>
  <r>
    <x v="47"/>
    <n v="0.38094301842471529"/>
    <n v="16038016"/>
    <s v="WOLF LAKE ELEMENTARY"/>
    <m/>
    <m/>
    <n v="535"/>
    <n v="1180"/>
    <m/>
    <m/>
    <n v="535"/>
    <n v="0.45338983050847459"/>
  </r>
  <r>
    <x v="47"/>
    <n v="0.38094301842471529"/>
    <n v="16038011"/>
    <s v="WOLF LAKE MIDDLE"/>
    <m/>
    <m/>
    <n v="715"/>
    <n v="1223"/>
    <m/>
    <m/>
    <n v="715"/>
    <n v="0.58462796402289452"/>
  </r>
  <r>
    <x v="47"/>
    <n v="0.38094301842471529"/>
    <n v="16072325"/>
    <s v="WORKFORCE ADVANTAGE ACADEMY CHARTER"/>
    <m/>
    <m/>
    <m/>
    <n v="249"/>
    <m/>
    <m/>
    <n v="0"/>
    <n v="0"/>
  </r>
  <r>
    <x v="47"/>
    <n v="0.38094301842471529"/>
    <n v="16038013"/>
    <s v="WYNDHAM LAKES ELEMENTARY"/>
    <m/>
    <m/>
    <m/>
    <n v="917"/>
    <m/>
    <m/>
    <n v="0"/>
    <n v="0"/>
  </r>
  <r>
    <x v="47"/>
    <n v="0.38094301842471529"/>
    <n v="35989"/>
    <s v="ZELLWOOD ELEMENTARY"/>
    <m/>
    <m/>
    <m/>
    <n v="627"/>
    <m/>
    <m/>
    <n v="0"/>
    <n v="0"/>
  </r>
  <r>
    <x v="48"/>
    <n v="0.77847489432681916"/>
    <n v="16020899"/>
    <s v="ADULT LEARNING CENTER OSCEOLA"/>
    <n v="120147007018"/>
    <m/>
    <m/>
    <n v="0"/>
    <m/>
    <m/>
    <n v="0"/>
    <n v="0"/>
  </r>
  <r>
    <x v="48"/>
    <n v="0.77847489432681916"/>
    <n v="16027017"/>
    <s v="BELLALAGO CHARTER ACADEMY"/>
    <n v="120147004012"/>
    <m/>
    <n v="889"/>
    <n v="1296"/>
    <m/>
    <m/>
    <n v="889"/>
    <n v="0.68595679012345678"/>
  </r>
  <r>
    <x v="48"/>
    <n v="0.77847489432681916"/>
    <n v="38742"/>
    <s v="BOGGY CREEK ELEMENTARY SCHOOL"/>
    <n v="120147002357"/>
    <m/>
    <m/>
    <n v="738"/>
    <n v="2015"/>
    <n v="68.239999999999995"/>
    <n v="738"/>
    <n v="1"/>
  </r>
  <r>
    <x v="48"/>
    <n v="0.77847489432681916"/>
    <n v="232558"/>
    <s v="CELEBRATION HIGH SCHOOL"/>
    <n v="120147004118"/>
    <m/>
    <n v="1510"/>
    <n v="2428"/>
    <m/>
    <m/>
    <n v="1510"/>
    <n v="0.62191103789126856"/>
  </r>
  <r>
    <x v="48"/>
    <n v="0.77847489432681916"/>
    <n v="38753"/>
    <s v="CELEBRATION SCHOOL"/>
    <n v="120147003098"/>
    <m/>
    <n v="323"/>
    <n v="1339"/>
    <m/>
    <m/>
    <n v="323"/>
    <n v="0.24122479462285287"/>
  </r>
  <r>
    <x v="48"/>
    <n v="0.77847489432681916"/>
    <n v="38734"/>
    <s v="CENTRAL AVENUE ELEMENTARY SCHOOL"/>
    <n v="120147003749"/>
    <m/>
    <m/>
    <n v="737"/>
    <n v="2015"/>
    <n v="72.09"/>
    <n v="737"/>
    <n v="1"/>
  </r>
  <r>
    <x v="48"/>
    <n v="0.77847489432681916"/>
    <n v="16033404"/>
    <s v="CHESTNUT ELEMENTARY SCHOOL FOR SCIENCE AND ENGINEERING"/>
    <n v="120147005655"/>
    <m/>
    <m/>
    <n v="722"/>
    <n v="2015"/>
    <n v="66.92"/>
    <n v="722"/>
    <n v="1"/>
  </r>
  <r>
    <x v="48"/>
    <n v="0.77847489432681916"/>
    <n v="38740"/>
    <s v="CYPRESS ELEMENTARY SCHOOL"/>
    <n v="120147000913"/>
    <m/>
    <m/>
    <n v="751"/>
    <n v="2015"/>
    <n v="69.66"/>
    <n v="751"/>
    <n v="1"/>
  </r>
  <r>
    <x v="48"/>
    <n v="0.77847489432681916"/>
    <n v="38769"/>
    <s v="DEERWOOD ELEMENTARY SCHOOL"/>
    <n v="120147002865"/>
    <m/>
    <m/>
    <n v="633"/>
    <n v="2015"/>
    <n v="72.97"/>
    <n v="633"/>
    <n v="1"/>
  </r>
  <r>
    <x v="48"/>
    <n v="0.77847489432681916"/>
    <n v="38746"/>
    <s v="DENN JOHN MIDDLE SCHOOL"/>
    <n v="120147001470"/>
    <m/>
    <m/>
    <n v="944"/>
    <n v="2015"/>
    <n v="66.06"/>
    <n v="944"/>
    <n v="1"/>
  </r>
  <r>
    <x v="48"/>
    <n v="0.77847489432681916"/>
    <n v="205215"/>
    <s v="DISCOVERY INTERMEDIATE SCHOOL"/>
    <n v="120147003633"/>
    <m/>
    <m/>
    <n v="1031"/>
    <n v="2015"/>
    <n v="68.37"/>
    <n v="1031"/>
    <n v="1"/>
  </r>
  <r>
    <x v="48"/>
    <n v="0.77847489432681916"/>
    <n v="16059955"/>
    <s v="EAST LAKE ELEMENTARY SCHOOL"/>
    <n v="120147007895"/>
    <m/>
    <m/>
    <n v="1028"/>
    <n v="2015"/>
    <n v="53.03"/>
    <n v="1028"/>
    <n v="1"/>
  </r>
  <r>
    <x v="48"/>
    <n v="0.77847489432681916"/>
    <n v="16042371"/>
    <s v="FLORA RIDGE ELEMENTARY SCHOOL"/>
    <n v="120147005055"/>
    <m/>
    <m/>
    <n v="834"/>
    <n v="2015"/>
    <n v="63.32"/>
    <n v="834"/>
    <n v="1"/>
  </r>
  <r>
    <x v="48"/>
    <n v="0.77847489432681916"/>
    <n v="38748"/>
    <s v="GATEWAY HIGH SCHOOL"/>
    <n v="120147002476"/>
    <m/>
    <n v="1873"/>
    <n v="2554"/>
    <m/>
    <m/>
    <n v="1873"/>
    <n v="0.73335943617854349"/>
  </r>
  <r>
    <x v="48"/>
    <n v="0.77847489432681916"/>
    <n v="16045550"/>
    <s v="HARMONY COMMUNITY SCHOOL"/>
    <n v="120147007630"/>
    <m/>
    <n v="321"/>
    <n v="894"/>
    <m/>
    <m/>
    <n v="321"/>
    <n v="0.35906040268456374"/>
  </r>
  <r>
    <x v="48"/>
    <n v="0.77847489432681916"/>
    <n v="16020897"/>
    <s v="HARMONY HIGH SCHOOL"/>
    <n v="120147004013"/>
    <m/>
    <n v="867"/>
    <n v="1973"/>
    <m/>
    <m/>
    <n v="867"/>
    <n v="0.43943233654333502"/>
  </r>
  <r>
    <x v="48"/>
    <n v="0.77847489432681916"/>
    <n v="38779"/>
    <s v="HICKORY TREE ELEMENTARY SCHOOL"/>
    <n v="120147002448"/>
    <m/>
    <n v="407"/>
    <n v="715"/>
    <m/>
    <m/>
    <n v="407"/>
    <n v="0.56923076923076921"/>
  </r>
  <r>
    <x v="48"/>
    <n v="0.77847489432681916"/>
    <n v="38732"/>
    <s v="HIGHLANDS ELEMENTARY SCHOOL"/>
    <n v="120147001468"/>
    <m/>
    <m/>
    <n v="867"/>
    <n v="2015"/>
    <n v="73.099999999999994"/>
    <n v="867"/>
    <n v="1"/>
  </r>
  <r>
    <x v="48"/>
    <n v="0.77847489432681916"/>
    <n v="38752"/>
    <s v="HORIZON MIDDLE SCHOOL"/>
    <n v="120147003008"/>
    <m/>
    <n v="886"/>
    <n v="1236"/>
    <m/>
    <m/>
    <n v="886"/>
    <n v="0.71682847896440127"/>
  </r>
  <r>
    <x v="48"/>
    <n v="0.77847489432681916"/>
    <n v="222490"/>
    <s v="KISSIMMEE ELEMENTARY SCHOOL"/>
    <n v="120147004398"/>
    <m/>
    <m/>
    <n v="886"/>
    <n v="2015"/>
    <n v="74.319999999999993"/>
    <n v="886"/>
    <n v="1"/>
  </r>
  <r>
    <x v="48"/>
    <n v="0.77847489432681916"/>
    <n v="38731"/>
    <s v="KISSIMMEE MIDDLE SCHOOL"/>
    <n v="120147003097"/>
    <m/>
    <m/>
    <n v="1258"/>
    <n v="2015"/>
    <n v="68.37"/>
    <n v="1258"/>
    <n v="1"/>
  </r>
  <r>
    <x v="48"/>
    <n v="0.77847489432681916"/>
    <n v="16050545"/>
    <s v="KOA ELEMENTARY SCHOOL"/>
    <n v="120147007621"/>
    <m/>
    <m/>
    <n v="764"/>
    <n v="2015"/>
    <n v="71.180000000000007"/>
    <n v="764"/>
    <n v="1"/>
  </r>
  <r>
    <x v="48"/>
    <n v="0.77847489432681916"/>
    <n v="38774"/>
    <s v="LAKEVIEW ELEMENTARY SCHOOL"/>
    <n v="120147002576"/>
    <m/>
    <m/>
    <n v="750"/>
    <n v="2015"/>
    <n v="61.51"/>
    <n v="750"/>
    <n v="1"/>
  </r>
  <r>
    <x v="48"/>
    <n v="0.77847489432681916"/>
    <n v="16041279"/>
    <s v="LIBERTY HIGH SCHOOL"/>
    <n v="120147007417"/>
    <m/>
    <n v="1553"/>
    <n v="2101"/>
    <m/>
    <m/>
    <n v="1553"/>
    <n v="0.73917182294145645"/>
  </r>
  <r>
    <x v="48"/>
    <n v="0.77847489432681916"/>
    <n v="38776"/>
    <s v="MICHIGAN AVENUE ELEMENTARY SCHOOL"/>
    <n v="120147001474"/>
    <m/>
    <m/>
    <n v="647"/>
    <n v="2015"/>
    <n v="59.53"/>
    <n v="647"/>
    <n v="1"/>
  </r>
  <r>
    <x v="48"/>
    <n v="0.77847489432681916"/>
    <n v="38745"/>
    <s v="MILL CREEK ELEMENTARY SCHOOL"/>
    <n v="120147002575"/>
    <m/>
    <m/>
    <n v="1018"/>
    <n v="2015"/>
    <n v="66.989999999999995"/>
    <n v="1018"/>
    <n v="1"/>
  </r>
  <r>
    <x v="48"/>
    <n v="0.77847489432681916"/>
    <n v="16050546"/>
    <s v="NARCOOSSEE ELEMENTARY SCHOOL"/>
    <n v="120147007498"/>
    <m/>
    <n v="380"/>
    <n v="874"/>
    <m/>
    <m/>
    <n v="380"/>
    <n v="0.43478260869565216"/>
  </r>
  <r>
    <x v="48"/>
    <n v="0.77847489432681916"/>
    <n v="205214"/>
    <s v="NARCOOSSEE MIDDLE SCHOOL"/>
    <n v="120147003632"/>
    <m/>
    <n v="613"/>
    <n v="1175"/>
    <m/>
    <m/>
    <n v="613"/>
    <n v="0.52170212765957447"/>
  </r>
  <r>
    <x v="48"/>
    <n v="0.77847489432681916"/>
    <n v="16042370"/>
    <s v="NEPTUNE ELEMENTARY SCHOOL"/>
    <n v="120147007373"/>
    <m/>
    <m/>
    <n v="980"/>
    <n v="2015"/>
    <n v="60.87"/>
    <n v="980"/>
    <n v="1"/>
  </r>
  <r>
    <x v="48"/>
    <n v="0.77847489432681916"/>
    <n v="38751"/>
    <s v="NEPTUNE MIDDLE SCHOOL"/>
    <n v="120147002672"/>
    <m/>
    <n v="882"/>
    <n v="1316"/>
    <m/>
    <m/>
    <n v="882"/>
    <n v="0.67021276595744683"/>
  </r>
  <r>
    <x v="48"/>
    <n v="0.77847489432681916"/>
    <n v="228366"/>
    <s v="NEW BEGINNINGS EDUCATION CENTER"/>
    <n v="120147003222"/>
    <m/>
    <m/>
    <n v="190"/>
    <n v="2015"/>
    <n v="74.819999999999993"/>
    <n v="190"/>
    <n v="1"/>
  </r>
  <r>
    <x v="48"/>
    <n v="0.77847489432681916"/>
    <n v="16081224"/>
    <s v="OASIS RESIDENTIAL CENTER"/>
    <n v="120147008295"/>
    <m/>
    <n v="1"/>
    <n v="31"/>
    <m/>
    <m/>
    <n v="1"/>
    <n v="3.2258064516129031E-2"/>
  </r>
  <r>
    <x v="48"/>
    <n v="0.77847489432681916"/>
    <n v="38775"/>
    <s v="OSCEOLA CENTER FOR EARLY LEARNING"/>
    <n v="120147007641"/>
    <m/>
    <m/>
    <n v="0"/>
    <m/>
    <m/>
    <n v="0"/>
    <n v="0"/>
  </r>
  <r>
    <x v="48"/>
    <n v="0.77847489432681916"/>
    <n v="15341525"/>
    <s v="OSCEOLA COUNTY SCHOOL FOR THE ARTS"/>
    <n v="120147004119"/>
    <m/>
    <n v="458"/>
    <n v="952"/>
    <m/>
    <m/>
    <n v="458"/>
    <n v="0.48109243697478993"/>
  </r>
  <r>
    <x v="48"/>
    <n v="0.77847489432681916"/>
    <n v="16020898"/>
    <s v="OSCEOLA DISTRICT OFFICE"/>
    <n v="1201470"/>
    <m/>
    <m/>
    <s v="0"/>
    <m/>
    <m/>
    <n v="0"/>
    <n v="0"/>
  </r>
  <r>
    <x v="48"/>
    <n v="0.77847489432681916"/>
    <n v="38737"/>
    <s v="OSCEOLA HIGH SCHOOL"/>
    <n v="120147001469"/>
    <m/>
    <n v="2064"/>
    <n v="2806"/>
    <m/>
    <m/>
    <n v="2064"/>
    <n v="0.73556664290805418"/>
  </r>
  <r>
    <x v="48"/>
    <n v="0.77847489432681916"/>
    <n v="222654"/>
    <s v="OSCEOLA REGIONAL JUVENILE COMMITMENT FACILITY"/>
    <n v="120147003888"/>
    <m/>
    <m/>
    <n v="15"/>
    <m/>
    <m/>
    <n v="0"/>
    <n v="0"/>
  </r>
  <r>
    <x v="48"/>
    <n v="0.77847489432681916"/>
    <n v="17003764"/>
    <s v="OSCEOLA VIRTUAL FRANCHISE (SECONDARY)"/>
    <n v="120147005802"/>
    <m/>
    <n v="37"/>
    <n v="84"/>
    <m/>
    <m/>
    <n v="37"/>
    <n v="0.44047619047619047"/>
  </r>
  <r>
    <x v="48"/>
    <n v="0.77847489432681916"/>
    <n v="17003765"/>
    <s v="OSCEOLA VIRTUAL INSTRUCTION PROGRAM"/>
    <n v="120147007537"/>
    <m/>
    <n v="26"/>
    <n v="74"/>
    <m/>
    <m/>
    <n v="26"/>
    <n v="0.35135135135135137"/>
  </r>
  <r>
    <x v="48"/>
    <n v="0.77847489432681916"/>
    <n v="38743"/>
    <s v="PARKWAY MIDDLE SCHOOL"/>
    <n v="120147002623"/>
    <m/>
    <m/>
    <n v="864"/>
    <n v="2015"/>
    <n v="61.34"/>
    <n v="864"/>
    <n v="1"/>
  </r>
  <r>
    <x v="48"/>
    <n v="0.77847489432681916"/>
    <n v="228473"/>
    <s v="PARTIN SETTLEMENT ELEMENTARY SCHOOL"/>
    <n v="120147003890"/>
    <m/>
    <n v="547"/>
    <n v="863"/>
    <m/>
    <m/>
    <n v="547"/>
    <n v="0.63383545770567784"/>
  </r>
  <r>
    <x v="48"/>
    <n v="0.77847489432681916"/>
    <n v="38738"/>
    <s v="PLEASANT HILL ELEMENTARY SCHOOL"/>
    <n v="120147002622"/>
    <m/>
    <m/>
    <n v="967"/>
    <n v="2015"/>
    <n v="61.84"/>
    <n v="967"/>
    <n v="1"/>
  </r>
  <r>
    <x v="48"/>
    <n v="0.77847489432681916"/>
    <n v="228474"/>
    <s v="POINCIANA ACADEMY OF FINE ARTS"/>
    <n v="120147003889"/>
    <m/>
    <m/>
    <n v="713"/>
    <n v="2015"/>
    <n v="73.819999999999993"/>
    <n v="713"/>
    <n v="1"/>
  </r>
  <r>
    <x v="48"/>
    <n v="0.77847489432681916"/>
    <n v="38768"/>
    <s v="POINCIANA HIGH SCHOOL"/>
    <n v="120147002866"/>
    <m/>
    <n v="1260"/>
    <n v="1735"/>
    <m/>
    <m/>
    <n v="1260"/>
    <n v="0.72622478386167144"/>
  </r>
  <r>
    <x v="48"/>
    <n v="0.77847489432681916"/>
    <n v="228362"/>
    <s v="PROFESSIONAL &amp; TECHNICAL HIGH SCHOOL"/>
    <n v="120147003634"/>
    <m/>
    <n v="389"/>
    <n v="623"/>
    <m/>
    <m/>
    <n v="389"/>
    <n v="0.6243980738362761"/>
  </r>
  <r>
    <x v="48"/>
    <n v="0.77847489432681916"/>
    <n v="38767"/>
    <s v="REEDY CREEK ELEMENTARY SCHOOL"/>
    <n v="120147002231"/>
    <m/>
    <m/>
    <n v="1012"/>
    <n v="2015"/>
    <n v="64.11"/>
    <n v="1012"/>
    <n v="1"/>
  </r>
  <r>
    <x v="48"/>
    <n v="0.77847489432681916"/>
    <n v="16033405"/>
    <s v="ST. CLOUD ELEMENTARY SCHOOL"/>
    <n v="120147001472"/>
    <m/>
    <n v="561"/>
    <n v="963"/>
    <m/>
    <m/>
    <n v="561"/>
    <n v="0.58255451713395634"/>
  </r>
  <r>
    <x v="48"/>
    <n v="0.77847489432681916"/>
    <n v="38778"/>
    <s v="ST. CLOUD HIGH SCHOOL"/>
    <n v="120147001473"/>
    <m/>
    <n v="1405"/>
    <n v="2412"/>
    <m/>
    <m/>
    <n v="1405"/>
    <n v="0.58250414593698174"/>
  </r>
  <r>
    <x v="48"/>
    <n v="0.77847489432681916"/>
    <n v="38777"/>
    <s v="ST. CLOUD MIDDLE SCHOOL"/>
    <n v="120147001475"/>
    <m/>
    <n v="705"/>
    <n v="1185"/>
    <m/>
    <m/>
    <n v="705"/>
    <n v="0.59493670886075944"/>
  </r>
  <r>
    <x v="48"/>
    <n v="0.77847489432681916"/>
    <n v="16033408"/>
    <s v="SUNRISE ELEMENTARY SCHOOL"/>
    <n v="120147005656"/>
    <m/>
    <m/>
    <n v="877"/>
    <n v="2015"/>
    <n v="55.48"/>
    <n v="877"/>
    <n v="1"/>
  </r>
  <r>
    <x v="48"/>
    <n v="0.77847489432681916"/>
    <n v="38749"/>
    <s v="TECHNICAL EDUCATION CENTER OSCEOLA"/>
    <n v="120147007148"/>
    <m/>
    <m/>
    <n v="0"/>
    <m/>
    <m/>
    <n v="0"/>
    <n v="0"/>
  </r>
  <r>
    <x v="48"/>
    <n v="0.77847489432681916"/>
    <n v="16080940"/>
    <s v="TECHNICAL EDUCATION CENTER OSCEOLA ST CLOUD CAMPUS"/>
    <n v="120147008401"/>
    <m/>
    <m/>
    <n v="0"/>
    <m/>
    <m/>
    <n v="0"/>
    <n v="0"/>
  </r>
  <r>
    <x v="48"/>
    <n v="0.77847489432681916"/>
    <n v="16080941"/>
    <s v="TECHNICAL EDUCATION CENTER OSCEOLA-POINCIANA CAMPUS"/>
    <n v="120147008430"/>
    <m/>
    <m/>
    <n v="0"/>
    <m/>
    <m/>
    <n v="0"/>
    <n v="0"/>
  </r>
  <r>
    <x v="48"/>
    <n v="0.77847489432681916"/>
    <n v="38730"/>
    <s v="THACKER AVENUE ELEMENTARY FOR INTERNATIONAL STUDIES"/>
    <n v="120147001471"/>
    <m/>
    <m/>
    <n v="876"/>
    <n v="2015"/>
    <n v="67.459999999999994"/>
    <n v="876"/>
    <n v="1"/>
  </r>
  <r>
    <x v="48"/>
    <n v="0.77847489432681916"/>
    <n v="38741"/>
    <s v="VENTURA ELEMENTARY SCHOOL"/>
    <n v="120147002675"/>
    <m/>
    <m/>
    <n v="918"/>
    <n v="2015"/>
    <n v="63.37"/>
    <n v="918"/>
    <n v="1"/>
  </r>
  <r>
    <x v="48"/>
    <n v="0.77847489432681916"/>
    <n v="16050547"/>
    <s v="WESTSIDE K-8 SCHOOL"/>
    <n v="120147007628"/>
    <m/>
    <m/>
    <n v="1556"/>
    <n v="2015"/>
    <n v="61.85"/>
    <n v="1556"/>
    <n v="1"/>
  </r>
  <r>
    <x v="48"/>
    <n v="0.77847489432681916"/>
    <n v="16033409"/>
    <s v="ZENITH"/>
    <n v="120147000920"/>
    <m/>
    <m/>
    <n v="552"/>
    <n v="2015"/>
    <n v="68.55"/>
    <n v="552"/>
    <n v="1"/>
  </r>
  <r>
    <x v="48"/>
    <n v="0.77847489432681916"/>
    <n v="16023249"/>
    <s v="MAINTENANCE DEPARTMENT"/>
    <n v="1201470"/>
    <m/>
    <m/>
    <m/>
    <m/>
    <m/>
    <n v="0"/>
    <n v="0"/>
  </r>
  <r>
    <x v="48"/>
    <n v="0.77847489432681916"/>
    <n v="16023250"/>
    <s v="OSCEOLA TRANSPORATION DEPARTMENT"/>
    <n v="1201470"/>
    <m/>
    <m/>
    <m/>
    <m/>
    <m/>
    <n v="0"/>
    <n v="0"/>
  </r>
  <r>
    <x v="48"/>
    <n v="0.77847489432681916"/>
    <n v="16051355"/>
    <s v="ST. CLOUD TRANSPORTATION DEPARTMENT"/>
    <n v="1201470"/>
    <m/>
    <m/>
    <m/>
    <m/>
    <m/>
    <n v="0"/>
    <n v="0"/>
  </r>
  <r>
    <x v="48"/>
    <n v="0.77847489432681916"/>
    <n v="16081283"/>
    <s v="CHARTER SCHOOLS DEPARTMENT"/>
    <n v="1201470"/>
    <m/>
    <m/>
    <m/>
    <m/>
    <m/>
    <n v="0"/>
    <n v="0"/>
  </r>
  <r>
    <x v="48"/>
    <n v="0.77847489432681916"/>
    <n v="16081284"/>
    <s v="SPECIAL PROGRAMS DEPARTMENT"/>
    <n v="1201470"/>
    <m/>
    <m/>
    <m/>
    <m/>
    <m/>
    <n v="0"/>
    <n v="0"/>
  </r>
  <r>
    <x v="48"/>
    <n v="0.77847489432681916"/>
    <n v="16081285"/>
    <s v="OASIS DEPARTMENT"/>
    <n v="1201470"/>
    <m/>
    <m/>
    <m/>
    <m/>
    <m/>
    <n v="0"/>
    <n v="0"/>
  </r>
  <r>
    <x v="48"/>
    <n v="0.77847489432681916"/>
    <n v="16081286"/>
    <s v="PROFESSIONAL DEVELOPMENT DEPARTMENT"/>
    <n v="1201470"/>
    <m/>
    <m/>
    <m/>
    <m/>
    <m/>
    <n v="0"/>
    <n v="0"/>
  </r>
  <r>
    <x v="48"/>
    <n v="0.77847489432681916"/>
    <n v="16081287"/>
    <s v="HUMAN RESOURCES DEPARTMENT"/>
    <n v="1201470"/>
    <m/>
    <m/>
    <m/>
    <m/>
    <m/>
    <n v="0"/>
    <n v="0"/>
  </r>
  <r>
    <x v="48"/>
    <n v="0.77847489432681916"/>
    <n v="16081288"/>
    <s v="FACILITIES DEPARTMENT"/>
    <n v="1201470"/>
    <m/>
    <m/>
    <m/>
    <m/>
    <m/>
    <n v="0"/>
    <n v="0"/>
  </r>
  <r>
    <x v="48"/>
    <n v="0.77847489432681916"/>
    <n v="16081289"/>
    <s v="EXTENDED DAY DEPARTMENT"/>
    <n v="1201470"/>
    <m/>
    <m/>
    <m/>
    <m/>
    <m/>
    <n v="0"/>
    <n v="0"/>
  </r>
  <r>
    <x v="48"/>
    <n v="0.77847489432681916"/>
    <n v="16081290"/>
    <s v="STUDENT SERVICES DEPARTMENT"/>
    <n v="1201470"/>
    <m/>
    <m/>
    <m/>
    <m/>
    <m/>
    <n v="0"/>
    <n v="0"/>
  </r>
  <r>
    <x v="48"/>
    <n v="0.77847489432681916"/>
    <n v="16081291"/>
    <s v="ALTERNATIVE PROGRAMS DEPARTMENT"/>
    <n v="1201470"/>
    <m/>
    <m/>
    <m/>
    <m/>
    <m/>
    <n v="0"/>
    <n v="0"/>
  </r>
  <r>
    <x v="48"/>
    <n v="0.77847489432681916"/>
    <n v="16081292"/>
    <s v="SCHOOL NUTRITION SERVICES"/>
    <n v="1201470"/>
    <m/>
    <m/>
    <m/>
    <m/>
    <m/>
    <n v="0"/>
    <n v="0"/>
  </r>
  <r>
    <x v="48"/>
    <n v="0.77847489432681916"/>
    <n v="16081293"/>
    <s v="EXCEPTIONAL STUDENT EDUCATION DEPARTMENT"/>
    <n v="1201470"/>
    <m/>
    <m/>
    <m/>
    <m/>
    <m/>
    <n v="0"/>
    <n v="0"/>
  </r>
  <r>
    <x v="48"/>
    <n v="0.77847489432681916"/>
    <n v="16081294"/>
    <s v="PLANNING DEPARTMENT"/>
    <n v="1201470"/>
    <m/>
    <m/>
    <m/>
    <m/>
    <m/>
    <n v="0"/>
    <n v="0"/>
  </r>
  <r>
    <x v="48"/>
    <n v="0.77847489432681916"/>
    <n v="16046344"/>
    <s v="CURRICULUM ANNEX"/>
    <n v="1201470"/>
    <m/>
    <m/>
    <m/>
    <m/>
    <m/>
    <n v="0"/>
    <n v="0"/>
  </r>
  <r>
    <x v="49"/>
    <n v="0.61922547211652934"/>
    <n v="37487"/>
    <s v="ACREAGE PINES ELEMENTARY SCHOOL"/>
    <m/>
    <m/>
    <n v="221"/>
    <n v="452"/>
    <m/>
    <m/>
    <n v="221"/>
    <n v="0.48893805309734512"/>
  </r>
  <r>
    <x v="49"/>
    <n v="0.61922547211652934"/>
    <n v="37508"/>
    <s v="ADDISON MIZNER ELEMENTARY SCHOOL"/>
    <m/>
    <m/>
    <n v="186"/>
    <n v="836"/>
    <m/>
    <m/>
    <n v="186"/>
    <n v="0.22248803827751196"/>
  </r>
  <r>
    <x v="49"/>
    <n v="0.61922547211652934"/>
    <n v="37307"/>
    <s v="ADULT EDUCATION CENTER OF PALM BEACH"/>
    <m/>
    <m/>
    <m/>
    <n v="0"/>
    <m/>
    <m/>
    <n v="0"/>
    <n v="0"/>
  </r>
  <r>
    <x v="49"/>
    <n v="0.61922547211652934"/>
    <n v="37262"/>
    <s v="ALEXANDER W DREYFOOS JUNIOR SCHOOL OF THE ARTS"/>
    <m/>
    <m/>
    <n v="313"/>
    <n v="1400"/>
    <m/>
    <m/>
    <n v="313"/>
    <n v="0.22357142857142856"/>
  </r>
  <r>
    <x v="49"/>
    <n v="0.61922547211652934"/>
    <n v="37321"/>
    <s v="ALLAMANDA ELEMENTARY SCHOOL"/>
    <m/>
    <m/>
    <n v="402"/>
    <n v="659"/>
    <m/>
    <m/>
    <n v="402"/>
    <n v="0.61001517450682852"/>
  </r>
  <r>
    <x v="49"/>
    <n v="0.61922547211652934"/>
    <n v="37433"/>
    <s v="ATLANTIC HIGH SCHOOL"/>
    <m/>
    <m/>
    <n v="1532"/>
    <n v="2324"/>
    <m/>
    <m/>
    <n v="1532"/>
    <n v="0.65920826161790014"/>
  </r>
  <r>
    <x v="49"/>
    <n v="0.61922547211652934"/>
    <n v="37295"/>
    <s v="BAK MIDDLE SCHOOL OF THE ARTS"/>
    <m/>
    <m/>
    <n v="329"/>
    <n v="1357"/>
    <m/>
    <m/>
    <n v="329"/>
    <n v="0.24244657332350775"/>
  </r>
  <r>
    <x v="49"/>
    <n v="0.61922547211652934"/>
    <n v="37435"/>
    <s v="BANYAN CREEK ELEMENTARY SCHOOL"/>
    <m/>
    <m/>
    <n v="518"/>
    <n v="983"/>
    <m/>
    <m/>
    <n v="518"/>
    <n v="0.52695829094608337"/>
  </r>
  <r>
    <x v="49"/>
    <n v="0.61922547211652934"/>
    <n v="37459"/>
    <s v="BARTON ELEMENTARY SCHOOL"/>
    <m/>
    <m/>
    <n v="936"/>
    <n v="950"/>
    <m/>
    <m/>
    <n v="936"/>
    <n v="0.98526315789473684"/>
  </r>
  <r>
    <x v="49"/>
    <n v="0.61922547211652934"/>
    <n v="226931"/>
    <s v="BEACON COVE INTERMEDIATE SCHOOL"/>
    <m/>
    <m/>
    <n v="137"/>
    <n v="785"/>
    <m/>
    <m/>
    <n v="137"/>
    <n v="0.17452229299363056"/>
  </r>
  <r>
    <x v="49"/>
    <n v="0.61922547211652934"/>
    <n v="37313"/>
    <s v="BEAR LAKES MIDDLE SCHOOL"/>
    <m/>
    <m/>
    <n v="659"/>
    <n v="723"/>
    <m/>
    <m/>
    <n v="659"/>
    <n v="0.9114799446749654"/>
  </r>
  <r>
    <x v="49"/>
    <n v="0.61922547211652934"/>
    <n v="37363"/>
    <s v="BELLE GLADE ELEMENTARY SCHOOL"/>
    <m/>
    <m/>
    <n v="641"/>
    <n v="659"/>
    <m/>
    <m/>
    <n v="641"/>
    <n v="0.9726858877086495"/>
  </r>
  <r>
    <x v="49"/>
    <n v="0.61922547211652934"/>
    <n v="37283"/>
    <s v="BELVEDERE ELEMENTARY SCHOOL"/>
    <m/>
    <m/>
    <n v="498"/>
    <n v="535"/>
    <m/>
    <m/>
    <n v="498"/>
    <n v="0.93084112149532705"/>
  </r>
  <r>
    <x v="49"/>
    <n v="0.61922547211652934"/>
    <n v="232842"/>
    <s v="BENOIST FARMS ELEMENTARY SCHOOL"/>
    <m/>
    <m/>
    <n v="523"/>
    <n v="568"/>
    <m/>
    <m/>
    <n v="523"/>
    <n v="0.92077464788732399"/>
  </r>
  <r>
    <x v="49"/>
    <n v="0.61922547211652934"/>
    <n v="37291"/>
    <s v="BERKSHIRE ELEMENTARY SCHOOL"/>
    <m/>
    <m/>
    <n v="957"/>
    <n v="1122"/>
    <m/>
    <m/>
    <n v="957"/>
    <n v="0.8529411764705882"/>
  </r>
  <r>
    <x v="49"/>
    <n v="0.61922547211652934"/>
    <n v="215013"/>
    <s v="BINKS FOREST ELEMENTARY SCHOOL"/>
    <m/>
    <m/>
    <n v="225"/>
    <n v="1014"/>
    <m/>
    <m/>
    <n v="225"/>
    <n v="0.22189349112426035"/>
  </r>
  <r>
    <x v="49"/>
    <n v="0.61922547211652934"/>
    <n v="37505"/>
    <s v="BOCA RATON COMMUNITY HIGH SCHOOL"/>
    <m/>
    <m/>
    <n v="1167"/>
    <n v="3305"/>
    <m/>
    <m/>
    <n v="1167"/>
    <n v="0.35310136157337368"/>
  </r>
  <r>
    <x v="49"/>
    <n v="0.61922547211652934"/>
    <n v="37506"/>
    <s v="BOCA RATON COMMUNITY MIDDLE SCHOOL"/>
    <m/>
    <m/>
    <n v="683"/>
    <n v="1536"/>
    <m/>
    <m/>
    <n v="683"/>
    <n v="0.44466145833333331"/>
  </r>
  <r>
    <x v="49"/>
    <n v="0.61922547211652934"/>
    <n v="37379"/>
    <s v="BOCA RATON ELEMENTARY SCHOOL"/>
    <m/>
    <m/>
    <n v="249"/>
    <n v="355"/>
    <m/>
    <m/>
    <n v="249"/>
    <n v="0.70140845070422531"/>
  </r>
  <r>
    <x v="49"/>
    <n v="0.61922547211652934"/>
    <n v="226932"/>
    <s v="BOYNTON BEACH COMMUNITY HIGH"/>
    <m/>
    <m/>
    <n v="1404"/>
    <n v="1837"/>
    <m/>
    <m/>
    <n v="1404"/>
    <n v="0.76428960261295587"/>
  </r>
  <r>
    <x v="49"/>
    <n v="0.61922547211652934"/>
    <n v="37514"/>
    <s v="CALUSA ELEMENTARY SCHOOL"/>
    <m/>
    <m/>
    <n v="311"/>
    <n v="1102"/>
    <m/>
    <m/>
    <n v="311"/>
    <n v="0.28221415607985478"/>
  </r>
  <r>
    <x v="49"/>
    <n v="0.61922547211652934"/>
    <n v="213320"/>
    <s v="CARP"/>
    <m/>
    <m/>
    <m/>
    <n v="0"/>
    <m/>
    <m/>
    <n v="0"/>
    <n v="0"/>
  </r>
  <r>
    <x v="49"/>
    <n v="0.61922547211652934"/>
    <n v="37436"/>
    <s v="CARVER MIDDLE SCHOOL"/>
    <m/>
    <m/>
    <n v="743"/>
    <n v="862"/>
    <m/>
    <m/>
    <n v="743"/>
    <n v="0.86194895591647336"/>
  </r>
  <r>
    <x v="49"/>
    <n v="0.61922547211652934"/>
    <n v="16025594"/>
    <s v="CENTRAL TRANSPORTATION"/>
    <m/>
    <m/>
    <m/>
    <n v="0"/>
    <m/>
    <m/>
    <n v="0"/>
    <n v="0"/>
  </r>
  <r>
    <x v="49"/>
    <n v="0.61922547211652934"/>
    <n v="232843"/>
    <s v="CHOLEE LAKE ELEMENTARY SCHOOL"/>
    <m/>
    <m/>
    <n v="1023"/>
    <n v="1104"/>
    <m/>
    <m/>
    <n v="1023"/>
    <n v="0.92663043478260865"/>
  </r>
  <r>
    <x v="49"/>
    <n v="0.61922547211652934"/>
    <n v="37402"/>
    <s v="CHRISTA MCAULIFFE MIDDLE SCHOOL"/>
    <m/>
    <m/>
    <n v="394"/>
    <n v="1122"/>
    <m/>
    <m/>
    <n v="394"/>
    <n v="0.35115864527629231"/>
  </r>
  <r>
    <x v="49"/>
    <n v="0.61922547211652934"/>
    <n v="37400"/>
    <s v="CITRUS COVE ELEMENTARY SCHOOL"/>
    <m/>
    <m/>
    <n v="596"/>
    <n v="1054"/>
    <m/>
    <m/>
    <n v="596"/>
    <n v="0.56546489563567359"/>
  </r>
  <r>
    <x v="49"/>
    <n v="0.61922547211652934"/>
    <n v="37460"/>
    <s v="CLIFFORD O TAYLOR/KIRKLANE ELEMENTARY"/>
    <m/>
    <m/>
    <n v="1061"/>
    <n v="1209"/>
    <m/>
    <m/>
    <n v="1061"/>
    <n v="0.87758478081058722"/>
  </r>
  <r>
    <x v="49"/>
    <n v="0.61922547211652934"/>
    <n v="37355"/>
    <s v="CONGRESS COMMUNITY MIDDLE SCHOOL"/>
    <m/>
    <m/>
    <n v="792"/>
    <n v="931"/>
    <m/>
    <m/>
    <n v="792"/>
    <n v="0.85069817400644465"/>
  </r>
  <r>
    <x v="49"/>
    <n v="0.61922547211652934"/>
    <n v="37284"/>
    <s v="CONNISTON MIDDLE SCHOOL"/>
    <m/>
    <m/>
    <n v="974"/>
    <n v="1178"/>
    <m/>
    <m/>
    <n v="974"/>
    <n v="0.82682512733446523"/>
  </r>
  <r>
    <x v="49"/>
    <n v="0.61922547211652934"/>
    <n v="215014"/>
    <s v="CORAL REEF ELEMENTARY SCHOOL"/>
    <m/>
    <m/>
    <n v="357"/>
    <n v="993"/>
    <m/>
    <m/>
    <n v="357"/>
    <n v="0.3595166163141994"/>
  </r>
  <r>
    <x v="49"/>
    <n v="0.61922547211652934"/>
    <n v="37358"/>
    <s v="CORAL SUNSET ELEMENTARY SCHOOL"/>
    <m/>
    <m/>
    <n v="527"/>
    <n v="781"/>
    <m/>
    <m/>
    <n v="527"/>
    <n v="0.67477592829705502"/>
  </r>
  <r>
    <x v="49"/>
    <n v="0.61922547211652934"/>
    <n v="37328"/>
    <s v="CRESTWOOD COMMUNITY MIDDLE"/>
    <m/>
    <m/>
    <n v="534"/>
    <n v="860"/>
    <m/>
    <m/>
    <n v="534"/>
    <n v="0.62093023255813951"/>
  </r>
  <r>
    <x v="49"/>
    <n v="0.61922547211652934"/>
    <n v="232857"/>
    <s v="CROSSPOINTE ELEMENTARY SCHOOL"/>
    <m/>
    <m/>
    <n v="615"/>
    <n v="687"/>
    <m/>
    <m/>
    <n v="615"/>
    <n v="0.89519650655021832"/>
  </r>
  <r>
    <x v="49"/>
    <n v="0.61922547211652934"/>
    <n v="220931"/>
    <s v="CROSSROADS ACADEMY"/>
    <m/>
    <m/>
    <n v="159"/>
    <n v="181"/>
    <m/>
    <m/>
    <n v="159"/>
    <n v="0.87845303867403313"/>
  </r>
  <r>
    <x v="49"/>
    <n v="0.61922547211652934"/>
    <n v="37401"/>
    <s v="CRYSTAL LAKES ELEMENTARY SCHOOL"/>
    <m/>
    <m/>
    <n v="303"/>
    <n v="677"/>
    <m/>
    <m/>
    <n v="303"/>
    <n v="0.44756277695716395"/>
  </r>
  <r>
    <x v="49"/>
    <n v="0.61922547211652934"/>
    <n v="37326"/>
    <s v="CYPRESS TRAILS ELEMENTARY SCHOOL"/>
    <m/>
    <m/>
    <n v="302"/>
    <n v="429"/>
    <m/>
    <m/>
    <n v="302"/>
    <n v="0.703962703962704"/>
  </r>
  <r>
    <x v="49"/>
    <n v="0.61922547211652934"/>
    <n v="37382"/>
    <s v="DEL PRADO ELEMENTARY SCHOOL"/>
    <m/>
    <m/>
    <n v="262"/>
    <n v="890"/>
    <m/>
    <m/>
    <n v="262"/>
    <n v="0.29438202247191009"/>
  </r>
  <r>
    <x v="49"/>
    <n v="0.61922547211652934"/>
    <n v="37426"/>
    <s v="DELRAY FULL SERVICE CENTER"/>
    <m/>
    <m/>
    <m/>
    <n v="0"/>
    <m/>
    <m/>
    <n v="0"/>
    <n v="0"/>
  </r>
  <r>
    <x v="49"/>
    <n v="0.61922547211652934"/>
    <n v="14709873"/>
    <s v="DIAMOND VIEW ELEMENTARY SCHOOL"/>
    <m/>
    <m/>
    <n v="705"/>
    <n v="839"/>
    <m/>
    <m/>
    <n v="705"/>
    <n v="0.84028605482717522"/>
  </r>
  <r>
    <x v="49"/>
    <n v="0.61922547211652934"/>
    <n v="226933"/>
    <s v="DISCOVERY KEY ELEMENTARY SCHOOL"/>
    <m/>
    <m/>
    <n v="338"/>
    <n v="808"/>
    <m/>
    <m/>
    <n v="338"/>
    <n v="0.4183168316831683"/>
  </r>
  <r>
    <x v="49"/>
    <n v="0.61922547211652934"/>
    <n v="16025583"/>
    <s v="DON ESTRIDGE HIGH TECH MIDDLE SCHOOL"/>
    <m/>
    <m/>
    <n v="432"/>
    <n v="1254"/>
    <m/>
    <m/>
    <n v="432"/>
    <n v="0.34449760765550241"/>
  </r>
  <r>
    <x v="49"/>
    <n v="0.61922547211652934"/>
    <n v="220929"/>
    <s v="DR. MARY MCLEOD BETHUNE ELEMENTARY"/>
    <m/>
    <m/>
    <n v="529"/>
    <n v="551"/>
    <m/>
    <m/>
    <n v="529"/>
    <n v="0.96007259528130673"/>
  </r>
  <r>
    <x v="49"/>
    <n v="0.61922547211652934"/>
    <n v="37316"/>
    <s v="DWIGHT D. EISENHOWER ELEMENTARY SCHOOL"/>
    <m/>
    <m/>
    <n v="333"/>
    <n v="555"/>
    <m/>
    <m/>
    <n v="333"/>
    <n v="0.6"/>
  </r>
  <r>
    <x v="49"/>
    <n v="0.61922547211652934"/>
    <n v="204603"/>
    <s v="EAGLES LANDING MIDDLE SCHOOL"/>
    <m/>
    <m/>
    <n v="550"/>
    <n v="1344"/>
    <m/>
    <m/>
    <n v="550"/>
    <n v="0.40922619047619047"/>
  </r>
  <r>
    <x v="49"/>
    <n v="0.61922547211652934"/>
    <n v="16025600"/>
    <s v="EAST TRANSPORTATION"/>
    <m/>
    <m/>
    <m/>
    <n v="0"/>
    <m/>
    <m/>
    <n v="0"/>
    <n v="0"/>
  </r>
  <r>
    <x v="49"/>
    <n v="0.61922547211652934"/>
    <n v="37351"/>
    <s v="EGRET LAKE ELEMENTARY SCHOOL"/>
    <m/>
    <m/>
    <n v="608"/>
    <n v="683"/>
    <m/>
    <m/>
    <n v="608"/>
    <n v="0.89019033674963399"/>
  </r>
  <r>
    <x v="49"/>
    <n v="0.61922547211652934"/>
    <n v="16034472"/>
    <s v="ELBRIDGE GALE ELEMENTARY SCHOOL"/>
    <m/>
    <m/>
    <n v="526"/>
    <n v="1057"/>
    <m/>
    <m/>
    <n v="526"/>
    <n v="0.49763481551561023"/>
  </r>
  <r>
    <x v="49"/>
    <n v="0.61922547211652934"/>
    <n v="16046929"/>
    <s v="EMERALD COVE MIDDLE SCHOOL"/>
    <m/>
    <m/>
    <n v="450"/>
    <n v="1204"/>
    <m/>
    <m/>
    <n v="450"/>
    <n v="0.37375415282392027"/>
  </r>
  <r>
    <x v="49"/>
    <n v="0.61922547211652934"/>
    <n v="14709893"/>
    <s v="EQUESTRIAN TRAILS ELEMENTARY"/>
    <m/>
    <m/>
    <n v="195"/>
    <n v="818"/>
    <m/>
    <m/>
    <n v="195"/>
    <n v="0.23838630806845965"/>
  </r>
  <r>
    <x v="49"/>
    <n v="0.61922547211652934"/>
    <n v="16055816"/>
    <s v="EVERGLADES ELEMENTARY"/>
    <m/>
    <m/>
    <n v="414"/>
    <n v="934"/>
    <m/>
    <m/>
    <n v="414"/>
    <n v="0.44325481798715205"/>
  </r>
  <r>
    <x v="49"/>
    <n v="0.61922547211652934"/>
    <n v="37288"/>
    <s v="FOREST HILL COMMUNITY HIGH SCHOOL"/>
    <m/>
    <m/>
    <n v="1904"/>
    <n v="2308"/>
    <m/>
    <m/>
    <n v="1904"/>
    <n v="0.82495667244367421"/>
  </r>
  <r>
    <x v="49"/>
    <n v="0.61922547211652934"/>
    <n v="37348"/>
    <s v="FOREST HILL ELEMENTARY SCHOOL"/>
    <m/>
    <m/>
    <n v="729"/>
    <n v="797"/>
    <m/>
    <m/>
    <n v="729"/>
    <n v="0.91468005018820575"/>
  </r>
  <r>
    <x v="49"/>
    <n v="0.61922547211652934"/>
    <n v="37396"/>
    <s v="FOREST PARK ELEMENTARY SCHOOL"/>
    <m/>
    <m/>
    <n v="489"/>
    <n v="518"/>
    <m/>
    <m/>
    <n v="489"/>
    <n v="0.94401544401544402"/>
  </r>
  <r>
    <x v="49"/>
    <n v="0.61922547211652934"/>
    <n v="232858"/>
    <s v="FREEDOM SHORES ELEMENTARY SCHOOL"/>
    <m/>
    <m/>
    <n v="665"/>
    <n v="944"/>
    <m/>
    <m/>
    <n v="665"/>
    <n v="0.70444915254237284"/>
  </r>
  <r>
    <x v="49"/>
    <n v="0.61922547211652934"/>
    <n v="226934"/>
    <s v="FRONTIER ELEMENTARY SCHOOL"/>
    <m/>
    <m/>
    <n v="266"/>
    <n v="583"/>
    <m/>
    <m/>
    <n v="266"/>
    <n v="0.45626072041166382"/>
  </r>
  <r>
    <x v="49"/>
    <n v="0.61922547211652934"/>
    <n v="16028823"/>
    <s v="FULTON-HOLLAND EDUCATIONAL SERVICES CENTER"/>
    <m/>
    <m/>
    <m/>
    <n v="0"/>
    <m/>
    <m/>
    <n v="0"/>
    <n v="0"/>
  </r>
  <r>
    <x v="49"/>
    <n v="0.61922547211652934"/>
    <n v="37391"/>
    <s v="GALAXY ELEMENTARY SCHOOL"/>
    <m/>
    <m/>
    <n v="603"/>
    <n v="656"/>
    <m/>
    <m/>
    <n v="603"/>
    <n v="0.91920731707317072"/>
  </r>
  <r>
    <x v="49"/>
    <n v="0.61922547211652934"/>
    <n v="16083911"/>
    <s v="GLADE VIEW ELEMENTARY SCHOOL"/>
    <m/>
    <m/>
    <n v="354"/>
    <n v="362"/>
    <m/>
    <m/>
    <n v="354"/>
    <n v="0.97790055248618779"/>
  </r>
  <r>
    <x v="49"/>
    <n v="0.61922547211652934"/>
    <n v="37369"/>
    <s v="GLADES CENTRAL HIGH SCHOOL"/>
    <m/>
    <m/>
    <n v="897"/>
    <n v="963"/>
    <m/>
    <m/>
    <n v="897"/>
    <n v="0.93146417445482865"/>
  </r>
  <r>
    <x v="49"/>
    <n v="0.61922547211652934"/>
    <n v="37309"/>
    <s v="GOLD COAST COMMUNITY SCHOOL"/>
    <m/>
    <m/>
    <n v="100"/>
    <n v="103"/>
    <m/>
    <m/>
    <n v="100"/>
    <n v="0.970873786407767"/>
  </r>
  <r>
    <x v="49"/>
    <n v="0.61922547211652934"/>
    <n v="37332"/>
    <s v="GOLDEN GROVE ELEMENTARY SCHOOL"/>
    <m/>
    <m/>
    <n v="314"/>
    <n v="544"/>
    <m/>
    <m/>
    <n v="314"/>
    <n v="0.57720588235294112"/>
  </r>
  <r>
    <x v="49"/>
    <n v="0.61922547211652934"/>
    <n v="37368"/>
    <s v="GOVE ELEMENTARY SCHOOL"/>
    <m/>
    <m/>
    <n v="766"/>
    <n v="800"/>
    <m/>
    <m/>
    <n v="766"/>
    <n v="0.95750000000000002"/>
  </r>
  <r>
    <x v="49"/>
    <n v="0.61922547211652934"/>
    <n v="16025584"/>
    <s v="GRASSY WATERS ELEMENTARY SCHOOL"/>
    <m/>
    <m/>
    <n v="532"/>
    <n v="724"/>
    <m/>
    <m/>
    <n v="532"/>
    <n v="0.73480662983425415"/>
  </r>
  <r>
    <x v="49"/>
    <n v="0.61922547211652934"/>
    <n v="37475"/>
    <s v="GREENACRES ELEMENTARY SCHOOL"/>
    <m/>
    <m/>
    <n v="692"/>
    <n v="726"/>
    <m/>
    <m/>
    <n v="692"/>
    <n v="0.95316804407713496"/>
  </r>
  <r>
    <x v="49"/>
    <n v="0.61922547211652934"/>
    <n v="37324"/>
    <s v="GROVE PARK ELEMENTARY SCHOOL"/>
    <m/>
    <m/>
    <n v="616"/>
    <n v="661"/>
    <m/>
    <m/>
    <n v="616"/>
    <n v="0.9319213313161876"/>
  </r>
  <r>
    <x v="49"/>
    <n v="0.61922547211652934"/>
    <n v="37331"/>
    <s v="H. L. JOHNSON ELEMENTARY SCHOOL"/>
    <m/>
    <m/>
    <n v="371"/>
    <n v="783"/>
    <m/>
    <m/>
    <n v="371"/>
    <n v="0.47381864623243936"/>
  </r>
  <r>
    <x v="49"/>
    <n v="0.61922547211652934"/>
    <n v="37403"/>
    <s v="HAGEN ROAD ELEMENTARY SCHOOL"/>
    <m/>
    <m/>
    <n v="401"/>
    <n v="715"/>
    <m/>
    <m/>
    <n v="401"/>
    <n v="0.56083916083916086"/>
  </r>
  <r>
    <x v="49"/>
    <n v="0.61922547211652934"/>
    <n v="37386"/>
    <s v="HAMMOCK POINTE ELEMENTARY SCHOOL"/>
    <m/>
    <m/>
    <n v="606"/>
    <n v="908"/>
    <m/>
    <m/>
    <n v="606"/>
    <n v="0.66740088105726869"/>
  </r>
  <r>
    <x v="49"/>
    <n v="0.61922547211652934"/>
    <n v="220930"/>
    <s v="HERITAGE ELEMENTARY SCHOOL"/>
    <m/>
    <m/>
    <n v="819"/>
    <n v="892"/>
    <m/>
    <m/>
    <n v="819"/>
    <n v="0.91816143497757852"/>
  </r>
  <r>
    <x v="49"/>
    <n v="0.61922547211652934"/>
    <n v="16026758"/>
    <s v="HIDDEN OAKS ELEMENTARY SCHOOL"/>
    <m/>
    <m/>
    <n v="473"/>
    <n v="739"/>
    <m/>
    <m/>
    <n v="473"/>
    <n v="0.64005412719891741"/>
  </r>
  <r>
    <x v="49"/>
    <n v="0.61922547211652934"/>
    <n v="37453"/>
    <s v="HIGHLAND ELEMENTARY SCHOOL"/>
    <m/>
    <m/>
    <n v="1059"/>
    <n v="1086"/>
    <m/>
    <m/>
    <n v="1059"/>
    <n v="0.97513812154696133"/>
  </r>
  <r>
    <x v="49"/>
    <n v="0.61922547211652934"/>
    <n v="205994"/>
    <s v="HIGHRIDGE FAMILY CENTER"/>
    <m/>
    <m/>
    <n v="8"/>
    <n v="37"/>
    <m/>
    <m/>
    <n v="8"/>
    <n v="0.21621621621621623"/>
  </r>
  <r>
    <x v="49"/>
    <n v="0.61922547211652934"/>
    <n v="16049391"/>
    <s v="HOPE-CENTENNIAL ELEMENTARY SCHOOL"/>
    <m/>
    <m/>
    <n v="650"/>
    <n v="670"/>
    <m/>
    <m/>
    <n v="650"/>
    <n v="0.97014925373134331"/>
  </r>
  <r>
    <x v="49"/>
    <n v="0.61922547211652934"/>
    <n v="37265"/>
    <s v="HOWELL L. WATKINS MIDDLE SCHOOL"/>
    <m/>
    <m/>
    <n v="817"/>
    <n v="926"/>
    <m/>
    <m/>
    <n v="817"/>
    <n v="0.8822894168466523"/>
  </r>
  <r>
    <x v="49"/>
    <n v="0.61922547211652934"/>
    <n v="232861"/>
    <s v="INDEPENDENCE MIDDLE SCHOOL"/>
    <m/>
    <m/>
    <n v="376"/>
    <n v="1349"/>
    <m/>
    <m/>
    <n v="376"/>
    <n v="0.27872498146775387"/>
  </r>
  <r>
    <x v="49"/>
    <n v="0.61922547211652934"/>
    <n v="37479"/>
    <s v="INDIAN PINES ELEMENTARY SCHOOL"/>
    <m/>
    <m/>
    <n v="647"/>
    <n v="669"/>
    <m/>
    <m/>
    <n v="647"/>
    <n v="0.96711509715994026"/>
  </r>
  <r>
    <x v="49"/>
    <n v="0.61922547211652934"/>
    <n v="37330"/>
    <s v="INDIAN RIDGE SCHOOL"/>
    <m/>
    <m/>
    <n v="96"/>
    <n v="112"/>
    <m/>
    <m/>
    <n v="96"/>
    <n v="0.8571428571428571"/>
  </r>
  <r>
    <x v="49"/>
    <n v="0.61922547211652934"/>
    <n v="37277"/>
    <s v="INLET GROVE COMMUNITY HIGH SCHOOL"/>
    <m/>
    <m/>
    <n v="582"/>
    <n v="697"/>
    <m/>
    <m/>
    <n v="582"/>
    <n v="0.83500717360114773"/>
  </r>
  <r>
    <x v="49"/>
    <n v="0.61922547211652934"/>
    <n v="37375"/>
    <s v="J. C. MITCHELL ELEMENTARY SCHOOL"/>
    <m/>
    <m/>
    <n v="504"/>
    <n v="799"/>
    <m/>
    <m/>
    <n v="504"/>
    <n v="0.63078848560700873"/>
  </r>
  <r>
    <x v="49"/>
    <n v="0.61922547211652934"/>
    <n v="14713313"/>
    <s v="JEAGA MIDDLE SCHOOL"/>
    <m/>
    <m/>
    <n v="943"/>
    <n v="1039"/>
    <m/>
    <m/>
    <n v="943"/>
    <n v="0.90760346487006738"/>
  </r>
  <r>
    <x v="49"/>
    <n v="0.61922547211652934"/>
    <n v="37444"/>
    <s v="JERRY THOMAS ELEMENTARY SCHOOL"/>
    <m/>
    <m/>
    <n v="430"/>
    <n v="825"/>
    <m/>
    <m/>
    <n v="430"/>
    <n v="0.52121212121212124"/>
  </r>
  <r>
    <x v="49"/>
    <n v="0.61922547211652934"/>
    <n v="37278"/>
    <s v="JOHN F. KENNEDY MIDDLE SCHOOL"/>
    <m/>
    <m/>
    <n v="689"/>
    <n v="716"/>
    <m/>
    <m/>
    <n v="689"/>
    <n v="0.96229050279329609"/>
  </r>
  <r>
    <x v="49"/>
    <n v="0.61922547211652934"/>
    <n v="37477"/>
    <s v="JOHN I. LEONARD HIGH SCHOOL"/>
    <m/>
    <m/>
    <n v="2758"/>
    <n v="3416"/>
    <m/>
    <m/>
    <n v="2758"/>
    <n v="0.80737704918032782"/>
  </r>
  <r>
    <x v="49"/>
    <n v="0.61922547211652934"/>
    <n v="37448"/>
    <s v="JUPITER ELEMENTARY SCHOOL"/>
    <m/>
    <m/>
    <n v="728"/>
    <n v="898"/>
    <m/>
    <m/>
    <n v="728"/>
    <n v="0.81069042316258355"/>
  </r>
  <r>
    <x v="49"/>
    <n v="0.61922547211652934"/>
    <n v="37498"/>
    <s v="JUPITER FARMS ELEMENTARY SCHOOL"/>
    <m/>
    <m/>
    <n v="161"/>
    <n v="542"/>
    <m/>
    <m/>
    <n v="161"/>
    <n v="0.29704797047970477"/>
  </r>
  <r>
    <x v="49"/>
    <n v="0.61922547211652934"/>
    <n v="37447"/>
    <s v="JUPITER HIGH SCHOOL"/>
    <m/>
    <m/>
    <n v="873"/>
    <n v="2867"/>
    <m/>
    <m/>
    <n v="873"/>
    <n v="0.30449947680502265"/>
  </r>
  <r>
    <x v="49"/>
    <n v="0.61922547211652934"/>
    <n v="37449"/>
    <s v="JUPITER MIDDLE SCHOOL"/>
    <m/>
    <m/>
    <n v="534"/>
    <n v="1231"/>
    <m/>
    <m/>
    <n v="534"/>
    <n v="0.4337936636880585"/>
  </r>
  <r>
    <x v="49"/>
    <n v="0.61922547211652934"/>
    <n v="37405"/>
    <s v="K. E. CUNNINGHAM/CANAL POINT ELEMENTARY"/>
    <m/>
    <m/>
    <n v="326"/>
    <n v="328"/>
    <m/>
    <m/>
    <n v="326"/>
    <n v="0.99390243902439024"/>
  </r>
  <r>
    <x v="49"/>
    <n v="0.61922547211652934"/>
    <n v="16026578"/>
    <s v="L C SWAIN MIDDLE SCHOOL"/>
    <m/>
    <m/>
    <n v="1084"/>
    <n v="1173"/>
    <m/>
    <m/>
    <n v="1084"/>
    <n v="0.92412617220801363"/>
  </r>
  <r>
    <x v="49"/>
    <n v="0.61922547211652934"/>
    <n v="37271"/>
    <s v="LAKE PARK ELEMENTARY SCHOOL"/>
    <m/>
    <m/>
    <n v="338"/>
    <n v="344"/>
    <m/>
    <m/>
    <n v="338"/>
    <n v="0.98255813953488369"/>
  </r>
  <r>
    <x v="49"/>
    <n v="0.61922547211652934"/>
    <n v="37365"/>
    <s v="LAKE SHORE MIDDLE SCHOOL"/>
    <m/>
    <m/>
    <n v="627"/>
    <n v="648"/>
    <m/>
    <m/>
    <n v="627"/>
    <n v="0.96759259259259256"/>
  </r>
  <r>
    <x v="49"/>
    <n v="0.61922547211652934"/>
    <n v="37464"/>
    <s v="LAKE WORTH COMMUNITY MIDDLE"/>
    <m/>
    <m/>
    <n v="911"/>
    <n v="972"/>
    <m/>
    <m/>
    <n v="911"/>
    <n v="0.93724279835390945"/>
  </r>
  <r>
    <x v="49"/>
    <n v="0.61922547211652934"/>
    <n v="37456"/>
    <s v="LAKE WORTH HIGH SCHOOL"/>
    <m/>
    <m/>
    <n v="2248"/>
    <n v="2596"/>
    <m/>
    <m/>
    <n v="2248"/>
    <n v="0.86594761171032353"/>
  </r>
  <r>
    <x v="49"/>
    <n v="0.61922547211652934"/>
    <n v="37469"/>
    <s v="LANTANA ELEMENTARY SCHOOL"/>
    <m/>
    <m/>
    <n v="498"/>
    <n v="529"/>
    <m/>
    <m/>
    <n v="498"/>
    <n v="0.94139886578449905"/>
  </r>
  <r>
    <x v="49"/>
    <n v="0.61922547211652934"/>
    <n v="37470"/>
    <s v="LANTANA MIDDLE SCHOOL"/>
    <m/>
    <m/>
    <n v="684"/>
    <n v="779"/>
    <m/>
    <m/>
    <n v="684"/>
    <n v="0.87804878048780488"/>
  </r>
  <r>
    <x v="49"/>
    <n v="0.61922547211652934"/>
    <n v="37334"/>
    <s v="LIBERTY PARK ELEMENTARY SCHOOL"/>
    <m/>
    <m/>
    <n v="965"/>
    <n v="1051"/>
    <m/>
    <m/>
    <n v="965"/>
    <n v="0.91817316841103713"/>
  </r>
  <r>
    <x v="49"/>
    <n v="0.61922547211652934"/>
    <n v="37450"/>
    <s v="LIGHTHOUSE ELEMENTARY SCHOOL"/>
    <m/>
    <m/>
    <n v="120"/>
    <n v="699"/>
    <m/>
    <m/>
    <n v="120"/>
    <n v="0.17167381974248927"/>
  </r>
  <r>
    <x v="49"/>
    <n v="0.61922547211652934"/>
    <n v="37443"/>
    <s v="LIMESTONE CREEK ELEMENTARY SCHOOL"/>
    <m/>
    <m/>
    <n v="232"/>
    <n v="920"/>
    <m/>
    <m/>
    <n v="232"/>
    <n v="0.25217391304347825"/>
  </r>
  <r>
    <x v="49"/>
    <n v="0.61922547211652934"/>
    <n v="37280"/>
    <s v="LINCOLN ELEMENTARY SCHOOL"/>
    <m/>
    <m/>
    <n v="539"/>
    <n v="548"/>
    <m/>
    <m/>
    <n v="539"/>
    <n v="0.98357664233576647"/>
  </r>
  <r>
    <x v="49"/>
    <n v="0.61922547211652934"/>
    <n v="37357"/>
    <s v="LOGGERS' RUN COMMUNITY MIDDLE SCHOOL"/>
    <m/>
    <m/>
    <n v="458"/>
    <n v="1081"/>
    <m/>
    <m/>
    <n v="458"/>
    <n v="0.42368177613321001"/>
  </r>
  <r>
    <x v="49"/>
    <n v="0.61922547211652934"/>
    <n v="37486"/>
    <s v="LOXAHATCHEE GROVES ELEMENTARY"/>
    <m/>
    <m/>
    <n v="353"/>
    <n v="576"/>
    <m/>
    <m/>
    <n v="353"/>
    <n v="0.61284722222222221"/>
  </r>
  <r>
    <x v="49"/>
    <n v="0.61922547211652934"/>
    <n v="16025590"/>
    <s v="MAINTENANCE &amp; PLANT OPERATIONS"/>
    <m/>
    <m/>
    <m/>
    <n v="0"/>
    <m/>
    <m/>
    <n v="0"/>
    <n v="0"/>
  </r>
  <r>
    <x v="49"/>
    <n v="0.61922547211652934"/>
    <n v="37482"/>
    <s v="MANATEE ELEMENTARY SCHOOL"/>
    <m/>
    <m/>
    <n v="413"/>
    <n v="1242"/>
    <m/>
    <m/>
    <n v="413"/>
    <n v="0.33252818035426729"/>
  </r>
  <r>
    <x v="49"/>
    <n v="0.61922547211652934"/>
    <n v="16046930"/>
    <s v="MARSH POINTE ELEMENTARY"/>
    <m/>
    <m/>
    <n v="160"/>
    <n v="910"/>
    <m/>
    <m/>
    <n v="160"/>
    <n v="0.17582417582417584"/>
  </r>
  <r>
    <x v="49"/>
    <n v="0.61922547211652934"/>
    <n v="16026760"/>
    <s v="MCKESSON BUILDING"/>
    <m/>
    <m/>
    <m/>
    <n v="0"/>
    <m/>
    <m/>
    <n v="0"/>
    <n v="0"/>
  </r>
  <r>
    <x v="49"/>
    <n v="0.61922547211652934"/>
    <n v="37290"/>
    <s v="MEADOW PARK ELEMENTARY SCHOOL"/>
    <m/>
    <m/>
    <n v="603"/>
    <n v="766"/>
    <m/>
    <m/>
    <n v="603"/>
    <n v="0.78720626631853785"/>
  </r>
  <r>
    <x v="49"/>
    <n v="0.61922547211652934"/>
    <n v="37343"/>
    <s v="MELALEUCA ELEMENTARY SCHOOL"/>
    <m/>
    <m/>
    <n v="742"/>
    <n v="801"/>
    <m/>
    <m/>
    <n v="742"/>
    <n v="0.92634207240948818"/>
  </r>
  <r>
    <x v="49"/>
    <n v="0.61922547211652934"/>
    <n v="203801"/>
    <s v="MORIKAMI PARK ELEMENTARY SCHOOL"/>
    <m/>
    <m/>
    <n v="160"/>
    <n v="808"/>
    <m/>
    <m/>
    <n v="160"/>
    <n v="0.19801980198019803"/>
  </r>
  <r>
    <x v="49"/>
    <n v="0.61922547211652934"/>
    <n v="37338"/>
    <s v="NEW HORIZONS ELEMENTARY SCHOOL"/>
    <m/>
    <m/>
    <n v="349"/>
    <n v="625"/>
    <m/>
    <m/>
    <n v="349"/>
    <n v="0.55840000000000001"/>
  </r>
  <r>
    <x v="49"/>
    <n v="0.61922547211652934"/>
    <n v="16061804"/>
    <s v="NORTH AREA ELEMENTARY TRANSITION SCHOOL"/>
    <m/>
    <m/>
    <m/>
    <s v="*"/>
    <m/>
    <m/>
    <n v="0"/>
    <n v="0"/>
  </r>
  <r>
    <x v="49"/>
    <n v="0.61922547211652934"/>
    <n v="16076799"/>
    <s v="NORTH COUNTY TESTING CENTER"/>
    <m/>
    <m/>
    <m/>
    <n v="0"/>
    <m/>
    <m/>
    <n v="0"/>
    <n v="0"/>
  </r>
  <r>
    <x v="49"/>
    <n v="0.61922547211652934"/>
    <n v="37454"/>
    <s v="NORTH GRADE ELEMENTARY SCHOOL"/>
    <m/>
    <m/>
    <n v="615"/>
    <n v="754"/>
    <m/>
    <m/>
    <n v="615"/>
    <n v="0.81564986737400536"/>
  </r>
  <r>
    <x v="49"/>
    <n v="0.61922547211652934"/>
    <n v="16046950"/>
    <s v="NORTH TRANSPORTATION"/>
    <m/>
    <m/>
    <m/>
    <n v="0"/>
    <m/>
    <m/>
    <n v="0"/>
    <n v="0"/>
  </r>
  <r>
    <x v="49"/>
    <n v="0.61922547211652934"/>
    <n v="37299"/>
    <s v="NORTHBORO ELEMENTARY SCHOOL"/>
    <m/>
    <m/>
    <n v="572"/>
    <n v="772"/>
    <m/>
    <m/>
    <n v="572"/>
    <n v="0.7409326424870466"/>
  </r>
  <r>
    <x v="49"/>
    <n v="0.61922547211652934"/>
    <n v="37298"/>
    <s v="NORTHMORE ELEMENTARY SCHOOL"/>
    <m/>
    <m/>
    <n v="462"/>
    <n v="469"/>
    <m/>
    <m/>
    <n v="462"/>
    <n v="0.9850746268656716"/>
  </r>
  <r>
    <x v="49"/>
    <n v="0.61922547211652934"/>
    <n v="226935"/>
    <s v="ODYSSEY MIDDLE SCHOOL"/>
    <m/>
    <m/>
    <n v="605"/>
    <n v="704"/>
    <m/>
    <m/>
    <n v="605"/>
    <n v="0.859375"/>
  </r>
  <r>
    <x v="49"/>
    <n v="0.61922547211652934"/>
    <n v="37335"/>
    <s v="OKEEHEELEE MIDDLE SCHOOL"/>
    <m/>
    <m/>
    <n v="1190"/>
    <n v="1423"/>
    <m/>
    <m/>
    <n v="1190"/>
    <n v="0.83626141953619115"/>
  </r>
  <r>
    <x v="49"/>
    <n v="0.61922547211652934"/>
    <n v="37367"/>
    <s v="OLD GLADE VIEW SITE"/>
    <m/>
    <m/>
    <m/>
    <n v="0"/>
    <m/>
    <m/>
    <n v="0"/>
    <n v="0"/>
  </r>
  <r>
    <x v="49"/>
    <n v="0.61922547211652934"/>
    <n v="37388"/>
    <s v="OLYMPIC HEIGHTS COMMUNITY HIGH"/>
    <m/>
    <m/>
    <n v="856"/>
    <n v="2018"/>
    <m/>
    <m/>
    <n v="856"/>
    <n v="0.42418235877106047"/>
  </r>
  <r>
    <x v="49"/>
    <n v="0.61922547211652934"/>
    <n v="37512"/>
    <s v="OMNI MIDDLE SCHOOL"/>
    <m/>
    <m/>
    <n v="483"/>
    <n v="1401"/>
    <m/>
    <m/>
    <n v="483"/>
    <n v="0.34475374732334046"/>
  </r>
  <r>
    <x v="49"/>
    <n v="0.61922547211652934"/>
    <n v="37437"/>
    <s v="ORCHARD VIEW ELEMENTARY SCHOOL"/>
    <m/>
    <m/>
    <n v="523"/>
    <n v="591"/>
    <m/>
    <m/>
    <n v="523"/>
    <n v="0.88494077834179352"/>
  </r>
  <r>
    <x v="49"/>
    <n v="0.61922547211652934"/>
    <n v="16025585"/>
    <s v="OSCEOLA CREEK MIDDLE SCHOOL"/>
    <m/>
    <m/>
    <n v="327"/>
    <n v="666"/>
    <m/>
    <m/>
    <n v="327"/>
    <n v="0.49099099099099097"/>
  </r>
  <r>
    <x v="49"/>
    <n v="0.61922547211652934"/>
    <n v="215113"/>
    <s v="PACE CENTER FOR GIRLS"/>
    <m/>
    <m/>
    <n v="1"/>
    <n v="44"/>
    <m/>
    <m/>
    <n v="1"/>
    <n v="2.2727272727272728E-2"/>
  </r>
  <r>
    <x v="49"/>
    <n v="0.61922547211652934"/>
    <n v="37494"/>
    <s v="PAHOKEE ELEMENTARY SCHOOL"/>
    <m/>
    <m/>
    <n v="397"/>
    <n v="409"/>
    <m/>
    <m/>
    <n v="397"/>
    <n v="0.97066014669926648"/>
  </r>
  <r>
    <x v="49"/>
    <n v="0.61922547211652934"/>
    <n v="37493"/>
    <s v="PAHOKEE HIGH SCHOOL"/>
    <m/>
    <m/>
    <n v="793"/>
    <n v="840"/>
    <m/>
    <m/>
    <n v="793"/>
    <n v="0.94404761904761902"/>
  </r>
  <r>
    <x v="49"/>
    <n v="0.61922547211652934"/>
    <n v="16055817"/>
    <s v="PAHOKEE MIDDLE SCHOOL"/>
    <m/>
    <m/>
    <n v="793"/>
    <n v="840"/>
    <m/>
    <m/>
    <n v="793"/>
    <n v="0.94404761904761902"/>
  </r>
  <r>
    <x v="49"/>
    <n v="0.61922547211652934"/>
    <n v="14713333"/>
    <s v="PALM BEACH CENTRAL HIGH SCHOOL"/>
    <m/>
    <m/>
    <n v="1300"/>
    <n v="3010"/>
    <m/>
    <m/>
    <n v="1300"/>
    <n v="0.43189368770764119"/>
  </r>
  <r>
    <x v="49"/>
    <n v="0.61922547211652934"/>
    <n v="204608"/>
    <s v="PALM BEACH COUNTY JAIL"/>
    <m/>
    <m/>
    <m/>
    <n v="33"/>
    <m/>
    <m/>
    <n v="0"/>
    <n v="0"/>
  </r>
  <r>
    <x v="49"/>
    <n v="0.61922547211652934"/>
    <n v="37320"/>
    <s v="PALM BEACH GARDENS ELEMENTARY SCHOOL"/>
    <m/>
    <m/>
    <n v="406"/>
    <n v="739"/>
    <m/>
    <m/>
    <n v="406"/>
    <n v="0.5493910690121786"/>
  </r>
  <r>
    <x v="49"/>
    <n v="0.61922547211652934"/>
    <n v="37323"/>
    <s v="PALM BEACH GARDENS HIGH SCHOOL"/>
    <m/>
    <m/>
    <n v="1757"/>
    <n v="2657"/>
    <m/>
    <m/>
    <n v="1757"/>
    <n v="0.6612721114038389"/>
  </r>
  <r>
    <x v="49"/>
    <n v="0.61922547211652934"/>
    <n v="228372"/>
    <s v="PALM BEACH JUVENILE CORRECTIONAL FACILITY"/>
    <m/>
    <m/>
    <m/>
    <n v="94"/>
    <m/>
    <m/>
    <n v="0"/>
    <n v="0"/>
  </r>
  <r>
    <x v="49"/>
    <n v="0.61922547211652934"/>
    <n v="37302"/>
    <s v="PALM BEACH LAKES HIGH SCHOOL"/>
    <m/>
    <m/>
    <n v="1725"/>
    <n v="2153"/>
    <m/>
    <m/>
    <n v="1725"/>
    <n v="0.80120761727821643"/>
  </r>
  <r>
    <x v="49"/>
    <n v="0.61922547211652934"/>
    <n v="37499"/>
    <s v="PALM BEACH PUBLIC SCHOOL"/>
    <m/>
    <m/>
    <n v="198"/>
    <n v="401"/>
    <m/>
    <m/>
    <n v="198"/>
    <n v="0.49376558603491272"/>
  </r>
  <r>
    <x v="49"/>
    <n v="0.61922547211652934"/>
    <n v="169316"/>
    <s v="PALM BEACH REGIONAL DETENTION CENTER"/>
    <m/>
    <m/>
    <n v="15"/>
    <n v="35"/>
    <m/>
    <m/>
    <n v="15"/>
    <n v="0.42857142857142855"/>
  </r>
  <r>
    <x v="49"/>
    <n v="0.61922547211652934"/>
    <n v="16025618"/>
    <s v="PALM BEACH SCHOOL FOR AUTISM"/>
    <m/>
    <m/>
    <n v="152"/>
    <n v="277"/>
    <m/>
    <m/>
    <n v="152"/>
    <n v="0.54873646209386284"/>
  </r>
  <r>
    <x v="49"/>
    <n v="0.61922547211652934"/>
    <n v="37461"/>
    <s v="PALM SPRINGS ELEMENTARY SCHOOL"/>
    <m/>
    <m/>
    <n v="772"/>
    <n v="831"/>
    <m/>
    <m/>
    <n v="772"/>
    <n v="0.92900120336943437"/>
  </r>
  <r>
    <x v="49"/>
    <n v="0.61922547211652934"/>
    <n v="37292"/>
    <s v="PALM SPRINGS MIDDLE SCHOOL"/>
    <m/>
    <m/>
    <n v="1261"/>
    <n v="1473"/>
    <m/>
    <m/>
    <n v="1261"/>
    <n v="0.85607603530210452"/>
  </r>
  <r>
    <x v="49"/>
    <n v="0.61922547211652934"/>
    <n v="37287"/>
    <s v="PALMETTO ELEMENTARY SCHOOL"/>
    <m/>
    <m/>
    <n v="515"/>
    <n v="534"/>
    <m/>
    <m/>
    <n v="515"/>
    <n v="0.96441947565543074"/>
  </r>
  <r>
    <x v="49"/>
    <n v="0.61922547211652934"/>
    <n v="37483"/>
    <s v="PANTHER RUN ELEMENTARY SCHOOL"/>
    <m/>
    <m/>
    <n v="172"/>
    <n v="781"/>
    <m/>
    <m/>
    <n v="172"/>
    <n v="0.22023047375160051"/>
  </r>
  <r>
    <x v="49"/>
    <n v="0.61922547211652934"/>
    <n v="16025586"/>
    <s v="PARK VISTA COMMUNITY HIGH SCHOOL"/>
    <m/>
    <m/>
    <n v="1066"/>
    <n v="3034"/>
    <m/>
    <m/>
    <n v="1066"/>
    <n v="0.35135135135135137"/>
  </r>
  <r>
    <x v="49"/>
    <n v="0.61922547211652934"/>
    <n v="16051707"/>
    <s v="PEW LEADERSHIP DEVLOPMENT CENTER"/>
    <m/>
    <m/>
    <m/>
    <n v="0"/>
    <m/>
    <m/>
    <n v="0"/>
    <n v="0"/>
  </r>
  <r>
    <x v="49"/>
    <n v="0.61922547211652934"/>
    <n v="16025587"/>
    <s v="PIERCE HAMMOCK ELEMENTARY SCHOOL"/>
    <m/>
    <m/>
    <n v="210"/>
    <n v="497"/>
    <m/>
    <m/>
    <n v="210"/>
    <n v="0.42253521126760563"/>
  </r>
  <r>
    <x v="49"/>
    <n v="0.61922547211652934"/>
    <n v="37428"/>
    <s v="PINE GROVE ELEMENTARY SCHOOL"/>
    <m/>
    <m/>
    <n v="424"/>
    <n v="437"/>
    <m/>
    <m/>
    <n v="424"/>
    <n v="0.97025171624713957"/>
  </r>
  <r>
    <x v="49"/>
    <n v="0.61922547211652934"/>
    <n v="16046932"/>
    <s v="PINE JOG ELEMENTARY SCHOOL"/>
    <m/>
    <m/>
    <n v="733"/>
    <n v="945"/>
    <m/>
    <m/>
    <n v="733"/>
    <n v="0.77566137566137561"/>
  </r>
  <r>
    <x v="49"/>
    <n v="0.61922547211652934"/>
    <n v="37361"/>
    <s v="PIONEER PARK ELEMENTARY SCHOOL"/>
    <m/>
    <m/>
    <n v="324"/>
    <n v="326"/>
    <m/>
    <m/>
    <n v="324"/>
    <n v="0.99386503067484666"/>
  </r>
  <r>
    <x v="49"/>
    <n v="0.61922547211652934"/>
    <n v="232859"/>
    <s v="PLEASANT CITY ELEMENTARY SCHOOL"/>
    <m/>
    <m/>
    <n v="353"/>
    <n v="358"/>
    <m/>
    <m/>
    <n v="353"/>
    <n v="0.98603351955307261"/>
  </r>
  <r>
    <x v="49"/>
    <n v="0.61922547211652934"/>
    <n v="37431"/>
    <s v="PLUMOSA SCHOOL OF THE ARTS"/>
    <m/>
    <m/>
    <n v="495"/>
    <n v="627"/>
    <m/>
    <m/>
    <n v="495"/>
    <n v="0.78947368421052633"/>
  </r>
  <r>
    <x v="49"/>
    <n v="0.61922547211652934"/>
    <n v="37393"/>
    <s v="POINCIANA ELEMENTARY SCHOOL"/>
    <m/>
    <m/>
    <n v="367"/>
    <n v="570"/>
    <m/>
    <m/>
    <n v="367"/>
    <n v="0.64385964912280702"/>
  </r>
  <r>
    <x v="49"/>
    <n v="0.61922547211652934"/>
    <n v="220932"/>
    <s v="POLO PARK MIDDLE SCHOOL"/>
    <m/>
    <m/>
    <n v="351"/>
    <n v="860"/>
    <m/>
    <m/>
    <n v="351"/>
    <n v="0.40813953488372096"/>
  </r>
  <r>
    <x v="49"/>
    <n v="0.61922547211652934"/>
    <n v="37392"/>
    <s v="ROLLING GREEN ELEMENTARY SCHOOL"/>
    <m/>
    <m/>
    <n v="832"/>
    <n v="854"/>
    <m/>
    <m/>
    <n v="832"/>
    <n v="0.97423887587822011"/>
  </r>
  <r>
    <x v="49"/>
    <n v="0.61922547211652934"/>
    <n v="37257"/>
    <s v="ROOSEVELT ELEMENTARY SCHOOL"/>
    <m/>
    <m/>
    <n v="431"/>
    <n v="445"/>
    <m/>
    <m/>
    <n v="431"/>
    <n v="0.96853932584269664"/>
  </r>
  <r>
    <x v="49"/>
    <n v="0.61922547211652934"/>
    <n v="16083780"/>
    <s v="ROOSEVELT FULL SERVICE"/>
    <m/>
    <m/>
    <m/>
    <n v="0"/>
    <m/>
    <m/>
    <n v="0"/>
    <n v="0"/>
  </r>
  <r>
    <x v="49"/>
    <n v="0.61922547211652934"/>
    <n v="37300"/>
    <s v="ROOSEVELT MIDDLE SCHOOL"/>
    <m/>
    <m/>
    <n v="834"/>
    <n v="963"/>
    <m/>
    <m/>
    <n v="834"/>
    <n v="0.86604361370716509"/>
  </r>
  <r>
    <x v="49"/>
    <n v="0.61922547211652934"/>
    <n v="37509"/>
    <s v="ROSENWALD ELEMENTARY SCHOOL"/>
    <m/>
    <m/>
    <n v="237"/>
    <n v="241"/>
    <m/>
    <m/>
    <n v="237"/>
    <n v="0.98340248962655596"/>
  </r>
  <r>
    <x v="49"/>
    <n v="0.61922547211652934"/>
    <n v="232860"/>
    <s v="ROYAL PALM BEACH ELEMENTARY SCHOOL"/>
    <m/>
    <m/>
    <n v="321"/>
    <n v="615"/>
    <m/>
    <m/>
    <n v="321"/>
    <n v="0.52195121951219514"/>
  </r>
  <r>
    <x v="49"/>
    <n v="0.61922547211652934"/>
    <n v="37325"/>
    <s v="ROYAL PALM BEACH HIGH SCHOOL"/>
    <m/>
    <m/>
    <n v="1499"/>
    <n v="2230"/>
    <m/>
    <m/>
    <n v="1499"/>
    <n v="0.67219730941704037"/>
  </r>
  <r>
    <x v="49"/>
    <n v="0.61922547211652934"/>
    <n v="37472"/>
    <s v="ROYAL PALM SCHOOL"/>
    <m/>
    <m/>
    <m/>
    <n v="410"/>
    <m/>
    <m/>
    <n v="0"/>
    <n v="0"/>
  </r>
  <r>
    <x v="49"/>
    <n v="0.61922547211652934"/>
    <n v="37427"/>
    <s v="S. D. SPADY ELEMENTARY SCHOOL"/>
    <m/>
    <m/>
    <n v="326"/>
    <n v="648"/>
    <m/>
    <m/>
    <n v="326"/>
    <n v="0.50308641975308643"/>
  </r>
  <r>
    <x v="49"/>
    <n v="0.61922547211652934"/>
    <n v="37515"/>
    <s v="SANDPIPER SHORES ELEMENTARY SCHOOL"/>
    <m/>
    <m/>
    <n v="412"/>
    <n v="916"/>
    <m/>
    <m/>
    <n v="412"/>
    <n v="0.44978165938864628"/>
  </r>
  <r>
    <x v="49"/>
    <n v="0.61922547211652934"/>
    <n v="37471"/>
    <s v="SANTALUCES COMMUNITY HIGH"/>
    <m/>
    <m/>
    <n v="1752"/>
    <n v="2400"/>
    <m/>
    <m/>
    <n v="1752"/>
    <n v="0.73"/>
  </r>
  <r>
    <x v="49"/>
    <n v="0.61922547211652934"/>
    <n v="16025597"/>
    <s v="SCHOOL FOOD SERVICES"/>
    <m/>
    <m/>
    <m/>
    <n v="0"/>
    <m/>
    <m/>
    <n v="0"/>
    <n v="0"/>
  </r>
  <r>
    <x v="49"/>
    <n v="0.61922547211652934"/>
    <n v="16025602"/>
    <s v="SEACREST ATHLETIC FACILITY"/>
    <m/>
    <m/>
    <m/>
    <n v="0"/>
    <m/>
    <m/>
    <n v="0"/>
    <n v="0"/>
  </r>
  <r>
    <x v="49"/>
    <n v="0.61922547211652934"/>
    <n v="16026756"/>
    <s v="SEMINOLE RIDGE COMMUNITY HIGH SCHOOL"/>
    <m/>
    <m/>
    <n v="960"/>
    <n v="2278"/>
    <m/>
    <m/>
    <n v="960"/>
    <n v="0.42142230026338895"/>
  </r>
  <r>
    <x v="49"/>
    <n v="0.61922547211652934"/>
    <n v="37352"/>
    <s v="SEMINOLE TRAILS ELEMENTARY SCHOOL"/>
    <m/>
    <m/>
    <n v="674"/>
    <n v="834"/>
    <m/>
    <m/>
    <n v="674"/>
    <n v="0.80815347721822539"/>
  </r>
  <r>
    <x v="49"/>
    <n v="0.61922547211652934"/>
    <n v="226945"/>
    <s v="SOUTH AREA SECONDARY INTENSIVE TRANSITION PROGRAM"/>
    <m/>
    <m/>
    <n v="79"/>
    <n v="83"/>
    <m/>
    <m/>
    <n v="79"/>
    <n v="0.95180722891566261"/>
  </r>
  <r>
    <x v="49"/>
    <n v="0.61922547211652934"/>
    <n v="220933"/>
    <s v="SOUTH GRADE ELEMENTARY SCHOOL"/>
    <m/>
    <m/>
    <n v="753"/>
    <n v="755"/>
    <m/>
    <m/>
    <n v="753"/>
    <n v="0.99735099337748345"/>
  </r>
  <r>
    <x v="49"/>
    <n v="0.61922547211652934"/>
    <n v="37289"/>
    <s v="SOUTH OLIVE ELEMENTARY SCHOOL"/>
    <m/>
    <m/>
    <n v="382"/>
    <n v="644"/>
    <m/>
    <m/>
    <n v="382"/>
    <n v="0.59316770186335399"/>
  </r>
  <r>
    <x v="49"/>
    <n v="0.61922547211652934"/>
    <n v="37356"/>
    <s v="SOUTH TECH ACADEMY"/>
    <m/>
    <m/>
    <n v="870"/>
    <n v="1114"/>
    <m/>
    <m/>
    <n v="870"/>
    <n v="0.78096947935368044"/>
  </r>
  <r>
    <x v="49"/>
    <n v="0.61922547211652934"/>
    <n v="37513"/>
    <s v="SPANISH RIVER COMMUNITY HIGH SCHOOL"/>
    <m/>
    <m/>
    <n v="624"/>
    <n v="2343"/>
    <m/>
    <m/>
    <n v="624"/>
    <n v="0.26632522407170295"/>
  </r>
  <r>
    <x v="49"/>
    <n v="0.61922547211652934"/>
    <n v="37468"/>
    <s v="STARLIGHT COVE ELEMENTARY SCHOOL"/>
    <m/>
    <m/>
    <n v="837"/>
    <n v="886"/>
    <m/>
    <m/>
    <n v="837"/>
    <n v="0.9446952595936795"/>
  </r>
  <r>
    <x v="49"/>
    <n v="0.61922547211652934"/>
    <n v="37276"/>
    <s v="SUNCOAST COMMUNITY HIGH SCHOOL"/>
    <m/>
    <m/>
    <n v="481"/>
    <n v="1517"/>
    <m/>
    <m/>
    <n v="481"/>
    <n v="0.31707317073170732"/>
  </r>
  <r>
    <x v="49"/>
    <n v="0.61922547211652934"/>
    <n v="226936"/>
    <s v="SUNRISE PARK ELEMENTARY SCHOOL"/>
    <m/>
    <m/>
    <n v="254"/>
    <n v="853"/>
    <m/>
    <m/>
    <n v="254"/>
    <n v="0.29777256740914421"/>
  </r>
  <r>
    <x v="49"/>
    <n v="0.61922547211652934"/>
    <n v="16046933"/>
    <s v="SUNSET PALMS ELEMENTARY SCHOOL"/>
    <m/>
    <m/>
    <n v="200"/>
    <n v="1099"/>
    <m/>
    <m/>
    <n v="200"/>
    <n v="0.18198362147406733"/>
  </r>
  <r>
    <x v="49"/>
    <n v="0.61922547211652934"/>
    <n v="37305"/>
    <s v="THE CONSERVATORY SCHOOL AT NORTH PALM BEACH"/>
    <m/>
    <m/>
    <n v="507"/>
    <n v="701"/>
    <m/>
    <m/>
    <n v="507"/>
    <n v="0.72325249643366618"/>
  </r>
  <r>
    <x v="49"/>
    <n v="0.61922547211652934"/>
    <n v="37353"/>
    <s v="TIMBER TRACE ELEMENTARY SCHOOL"/>
    <m/>
    <m/>
    <n v="329"/>
    <n v="841"/>
    <m/>
    <m/>
    <n v="329"/>
    <n v="0.39120095124851367"/>
  </r>
  <r>
    <x v="49"/>
    <n v="0.61922547211652934"/>
    <n v="14641803"/>
    <s v="TOUSSAINT L'OUVERTURE HIGH"/>
    <m/>
    <m/>
    <n v="101"/>
    <n v="157"/>
    <m/>
    <m/>
    <n v="101"/>
    <n v="0.64331210191082799"/>
  </r>
  <r>
    <x v="49"/>
    <n v="0.61922547211652934"/>
    <n v="16025588"/>
    <s v="TRADEWINDS MIDDLE SCHOOL"/>
    <m/>
    <m/>
    <n v="872"/>
    <n v="1055"/>
    <m/>
    <m/>
    <n v="872"/>
    <n v="0.82654028436018956"/>
  </r>
  <r>
    <x v="49"/>
    <n v="0.61922547211652934"/>
    <n v="16061803"/>
    <s v="TURNING POINTS ACADEMY"/>
    <m/>
    <m/>
    <n v="118"/>
    <n v="129"/>
    <m/>
    <m/>
    <n v="118"/>
    <n v="0.9147286821705426"/>
  </r>
  <r>
    <x v="49"/>
    <n v="0.61922547211652934"/>
    <n v="37259"/>
    <s v="U. B. KINSEY/PALMVIEW ELEMENTARY"/>
    <m/>
    <m/>
    <n v="525"/>
    <n v="603"/>
    <m/>
    <m/>
    <n v="525"/>
    <n v="0.87064676616915426"/>
  </r>
  <r>
    <x v="49"/>
    <n v="0.61922547211652934"/>
    <n v="37384"/>
    <s v="VERDE ELEMENTARY SCHOOL"/>
    <m/>
    <m/>
    <n v="415"/>
    <n v="979"/>
    <m/>
    <m/>
    <n v="415"/>
    <n v="0.42390194075587334"/>
  </r>
  <r>
    <x v="49"/>
    <n v="0.61922547211652934"/>
    <n v="220934"/>
    <s v="VILLAGE ACADEMY ON THE ART &amp; SARA JO KOBACKER CAMPUS"/>
    <m/>
    <m/>
    <n v="855"/>
    <n v="891"/>
    <m/>
    <m/>
    <n v="855"/>
    <n v="0.95959595959595956"/>
  </r>
  <r>
    <x v="49"/>
    <n v="0.61922547211652934"/>
    <n v="37273"/>
    <s v="WASHINGTON ELEMENTARY MAGNET SCHOOL"/>
    <m/>
    <m/>
    <n v="358"/>
    <n v="374"/>
    <m/>
    <m/>
    <n v="358"/>
    <n v="0.95721925133689845"/>
  </r>
  <r>
    <x v="49"/>
    <n v="0.61922547211652934"/>
    <n v="37359"/>
    <s v="WATERS EDGE ELEMENTARY SCHOOL"/>
    <m/>
    <m/>
    <n v="172"/>
    <n v="844"/>
    <m/>
    <m/>
    <n v="172"/>
    <n v="0.20379146919431279"/>
  </r>
  <r>
    <x v="49"/>
    <n v="0.61922547211652934"/>
    <n v="37354"/>
    <s v="WATSON B. DUNCAN MIDDLE SCHOOL"/>
    <m/>
    <m/>
    <n v="553"/>
    <n v="1308"/>
    <m/>
    <m/>
    <n v="553"/>
    <n v="0.422782874617737"/>
  </r>
  <r>
    <x v="49"/>
    <n v="0.61922547211652934"/>
    <n v="37336"/>
    <s v="WELLINGTON ELEMENTARY SCHOOL"/>
    <m/>
    <m/>
    <n v="330"/>
    <n v="739"/>
    <m/>
    <m/>
    <n v="330"/>
    <n v="0.4465493910690122"/>
  </r>
  <r>
    <x v="49"/>
    <n v="0.61922547211652934"/>
    <n v="37339"/>
    <s v="WELLINGTON HIGH SCHOOL"/>
    <m/>
    <m/>
    <n v="881"/>
    <n v="2463"/>
    <m/>
    <m/>
    <n v="881"/>
    <n v="0.35769386926512381"/>
  </r>
  <r>
    <x v="49"/>
    <n v="0.61922547211652934"/>
    <n v="37341"/>
    <s v="WELLINGTON LANDINGS MIDDLE"/>
    <m/>
    <m/>
    <n v="394"/>
    <n v="1063"/>
    <m/>
    <m/>
    <n v="394"/>
    <n v="0.37064910630291625"/>
  </r>
  <r>
    <x v="49"/>
    <n v="0.61922547211652934"/>
    <n v="16025589"/>
    <s v="WEST BOCA RATON HIGH SCHOOL"/>
    <m/>
    <m/>
    <n v="664"/>
    <n v="1933"/>
    <m/>
    <m/>
    <n v="664"/>
    <n v="0.34350750129332641"/>
  </r>
  <r>
    <x v="49"/>
    <n v="0.61922547211652934"/>
    <n v="37311"/>
    <s v="WEST GATE ELEMENTARY SCHOOL"/>
    <m/>
    <m/>
    <n v="748"/>
    <n v="768"/>
    <m/>
    <m/>
    <n v="748"/>
    <n v="0.97395833333333337"/>
  </r>
  <r>
    <x v="49"/>
    <n v="0.61922547211652934"/>
    <n v="37281"/>
    <s v="WEST RIVIERA ELEMENTARY SCHOOL"/>
    <m/>
    <m/>
    <n v="733"/>
    <n v="750"/>
    <m/>
    <m/>
    <n v="733"/>
    <n v="0.97733333333333339"/>
  </r>
  <r>
    <x v="49"/>
    <n v="0.61922547211652934"/>
    <n v="37362"/>
    <s v="WEST TECHNICAL EDUCATION CENTER"/>
    <m/>
    <m/>
    <m/>
    <n v="0"/>
    <m/>
    <m/>
    <n v="0"/>
    <n v="0"/>
  </r>
  <r>
    <x v="49"/>
    <n v="0.61922547211652934"/>
    <n v="37333"/>
    <s v="WESTERN PINES COMMUNITY MIDDLE"/>
    <m/>
    <m/>
    <n v="514"/>
    <n v="1073"/>
    <m/>
    <m/>
    <n v="514"/>
    <n v="0.47903075489282387"/>
  </r>
  <r>
    <x v="49"/>
    <n v="0.61922547211652934"/>
    <n v="37258"/>
    <s v="WESTWARD ELEMENTARY SCHOOL"/>
    <m/>
    <m/>
    <n v="527"/>
    <n v="569"/>
    <m/>
    <m/>
    <n v="527"/>
    <n v="0.92618629173989453"/>
  </r>
  <r>
    <x v="49"/>
    <n v="0.61922547211652934"/>
    <n v="37511"/>
    <s v="WHISPERING PINES ELEMENTARY SCHOOL"/>
    <m/>
    <m/>
    <n v="319"/>
    <n v="878"/>
    <m/>
    <m/>
    <n v="319"/>
    <n v="0.36332574031890663"/>
  </r>
  <r>
    <x v="49"/>
    <n v="0.61922547211652934"/>
    <n v="37315"/>
    <s v="WILLIAM T. DWYER HIGH SCHOOL"/>
    <m/>
    <m/>
    <n v="915"/>
    <n v="2044"/>
    <m/>
    <m/>
    <n v="915"/>
    <n v="0.44765166340508805"/>
  </r>
  <r>
    <x v="49"/>
    <n v="0.61922547211652934"/>
    <n v="37481"/>
    <s v="WOODLANDS MIDDLE SCHOOL"/>
    <m/>
    <m/>
    <n v="614"/>
    <n v="1085"/>
    <m/>
    <m/>
    <n v="614"/>
    <n v="0.56589861751152071"/>
  </r>
  <r>
    <x v="49"/>
    <n v="0.61922547211652934"/>
    <n v="37350"/>
    <s v="WYNNEBROOK ELEMENTARY SCHOOL"/>
    <m/>
    <m/>
    <n v="818"/>
    <n v="870"/>
    <m/>
    <m/>
    <n v="818"/>
    <n v="0.94022988505747129"/>
  </r>
  <r>
    <x v="50"/>
    <n v="0.5620239312301113"/>
    <n v="16069298"/>
    <s v="ACADEMY AT THE FARM"/>
    <m/>
    <m/>
    <n v="162"/>
    <n v="550"/>
    <m/>
    <m/>
    <n v="162"/>
    <n v="0.29454545454545455"/>
  </r>
  <r>
    <x v="50"/>
    <n v="0.5620239312301113"/>
    <n v="37540"/>
    <s v="ADULT EDUCATION/MOORE MICKENS"/>
    <m/>
    <m/>
    <m/>
    <n v="178"/>
    <m/>
    <m/>
    <n v="0"/>
    <n v="0"/>
  </r>
  <r>
    <x v="50"/>
    <n v="0.5620239312301113"/>
    <n v="151596"/>
    <s v="AMI KIDS PASCO"/>
    <m/>
    <m/>
    <n v="38"/>
    <n v="54"/>
    <m/>
    <m/>
    <n v="38"/>
    <n v="0.70370370370370372"/>
  </r>
  <r>
    <x v="50"/>
    <n v="0.5620239312301113"/>
    <n v="38647"/>
    <s v="ANCLOTE ELEMENTARY SCHOOL"/>
    <m/>
    <m/>
    <n v="354"/>
    <n v="418"/>
    <m/>
    <m/>
    <n v="354"/>
    <n v="0.84688995215311003"/>
  </r>
  <r>
    <x v="50"/>
    <n v="0.5620239312301113"/>
    <n v="16052490"/>
    <s v="ANCLOTE HIGH SCHOOL"/>
    <m/>
    <m/>
    <n v="1015"/>
    <n v="1359"/>
    <m/>
    <m/>
    <n v="1015"/>
    <n v="0.74687270051508459"/>
  </r>
  <r>
    <x v="50"/>
    <n v="0.5620239312301113"/>
    <n v="16045263"/>
    <s v="ATHENIAN ACADEMY OF PASCO COUNTY"/>
    <m/>
    <m/>
    <n v="247"/>
    <n v="360"/>
    <m/>
    <m/>
    <n v="247"/>
    <n v="0.68611111111111112"/>
  </r>
  <r>
    <x v="50"/>
    <n v="0.5620239312301113"/>
    <n v="38659"/>
    <s v="BAYONET POINT MIDDLE SCHOOL"/>
    <m/>
    <m/>
    <n v="427"/>
    <n v="519"/>
    <m/>
    <m/>
    <n v="427"/>
    <n v="0.82273603082851643"/>
  </r>
  <r>
    <x v="50"/>
    <n v="0.5620239312301113"/>
    <n v="38649"/>
    <s v="CALUSA ELEMENTARY SCHOOL"/>
    <m/>
    <m/>
    <n v="496"/>
    <n v="610"/>
    <m/>
    <m/>
    <n v="496"/>
    <n v="0.81311475409836065"/>
  </r>
  <r>
    <x v="50"/>
    <n v="0.5620239312301113"/>
    <n v="37542"/>
    <s v="CENTENNIAL ELEMENTARY SCHOOL"/>
    <m/>
    <m/>
    <n v="416"/>
    <n v="502"/>
    <m/>
    <m/>
    <n v="416"/>
    <n v="0.82868525896414347"/>
  </r>
  <r>
    <x v="50"/>
    <n v="0.5620239312301113"/>
    <n v="227090"/>
    <s v="CENTENNIAL MIDDLE SCHOOL"/>
    <m/>
    <m/>
    <n v="401"/>
    <n v="556"/>
    <m/>
    <m/>
    <n v="401"/>
    <n v="0.72122302158273377"/>
  </r>
  <r>
    <x v="50"/>
    <n v="0.5620239312301113"/>
    <n v="16041676"/>
    <s v="CHARLES S. RUSHE MIDDLE SCHOOL"/>
    <m/>
    <m/>
    <n v="442"/>
    <n v="1381"/>
    <m/>
    <m/>
    <n v="442"/>
    <n v="0.32005792903692976"/>
  </r>
  <r>
    <x v="50"/>
    <n v="0.5620239312301113"/>
    <n v="220855"/>
    <s v="CHASCO ELEMENTARY SCHOOL"/>
    <m/>
    <m/>
    <n v="602"/>
    <n v="711"/>
    <m/>
    <m/>
    <n v="602"/>
    <n v="0.84669479606188469"/>
  </r>
  <r>
    <x v="50"/>
    <n v="0.5620239312301113"/>
    <n v="227088"/>
    <s v="CHASCO MIDDLE SCHOOL"/>
    <m/>
    <m/>
    <n v="678"/>
    <n v="825"/>
    <m/>
    <m/>
    <n v="678"/>
    <n v="0.82181818181818178"/>
  </r>
  <r>
    <x v="50"/>
    <n v="0.5620239312301113"/>
    <n v="37562"/>
    <s v="CHESTER W. TAYLOR, JR. ELEMENTARY SCHOOL"/>
    <m/>
    <m/>
    <n v="433"/>
    <n v="536"/>
    <m/>
    <m/>
    <n v="433"/>
    <n v="0.80783582089552242"/>
  </r>
  <r>
    <x v="50"/>
    <n v="0.5620239312301113"/>
    <n v="16057937"/>
    <s v="CONNERTON ELEMENTARY SCHOOL"/>
    <m/>
    <m/>
    <n v="233"/>
    <n v="806"/>
    <m/>
    <m/>
    <n v="233"/>
    <n v="0.28908188585607941"/>
  </r>
  <r>
    <x v="50"/>
    <n v="0.5620239312301113"/>
    <n v="38653"/>
    <s v="COTEE RIVER ELEMENTARY SCHOOL"/>
    <m/>
    <m/>
    <n v="497"/>
    <n v="667"/>
    <m/>
    <m/>
    <n v="497"/>
    <n v="0.74512743628185907"/>
  </r>
  <r>
    <x v="50"/>
    <n v="0.5620239312301113"/>
    <n v="16047523"/>
    <s v="CREWS LAKE K-8 SCHOOL"/>
    <m/>
    <m/>
    <n v="456"/>
    <n v="635"/>
    <m/>
    <m/>
    <n v="456"/>
    <n v="0.71811023622047243"/>
  </r>
  <r>
    <x v="50"/>
    <n v="0.5620239312301113"/>
    <n v="38662"/>
    <s v="CYPRESS ELEMENTARY SCHOOL"/>
    <m/>
    <m/>
    <n v="492"/>
    <n v="805"/>
    <m/>
    <m/>
    <n v="492"/>
    <n v="0.61118012422360246"/>
  </r>
  <r>
    <x v="50"/>
    <n v="0.5620239312301113"/>
    <n v="16075256"/>
    <s v="DAYSPRING ACADEMY"/>
    <m/>
    <m/>
    <n v="310"/>
    <n v="648"/>
    <m/>
    <m/>
    <n v="310"/>
    <n v="0.47839506172839508"/>
  </r>
  <r>
    <x v="50"/>
    <n v="0.5620239312301113"/>
    <n v="38656"/>
    <s v="DEER PARK ELEMENTARY SCHOOL"/>
    <m/>
    <m/>
    <n v="289"/>
    <n v="593"/>
    <m/>
    <m/>
    <n v="289"/>
    <n v="0.48735244519392917"/>
  </r>
  <r>
    <x v="50"/>
    <n v="0.5620239312301113"/>
    <n v="37571"/>
    <s v="DENHAM OAKS ELEMENTARY SCHOOL"/>
    <m/>
    <m/>
    <n v="275"/>
    <n v="640"/>
    <m/>
    <m/>
    <n v="275"/>
    <n v="0.4296875"/>
  </r>
  <r>
    <x v="50"/>
    <n v="0.5620239312301113"/>
    <n v="16041670"/>
    <s v="DOUBLE BRANCH ELEMENTARY SCHOOL"/>
    <m/>
    <m/>
    <n v="300"/>
    <n v="878"/>
    <m/>
    <m/>
    <n v="300"/>
    <n v="0.34168564920273348"/>
  </r>
  <r>
    <x v="50"/>
    <n v="0.5620239312301113"/>
    <n v="16036227"/>
    <s v="DR. JOHN LONG MIDDLE SCHOOL"/>
    <m/>
    <m/>
    <n v="515"/>
    <n v="1728"/>
    <m/>
    <m/>
    <n v="515"/>
    <n v="0.29803240740740738"/>
  </r>
  <r>
    <x v="50"/>
    <n v="0.5620239312301113"/>
    <n v="38631"/>
    <s v="DR. MARY GIELLA ELEMENTARY SCHOOL"/>
    <m/>
    <m/>
    <n v="555"/>
    <n v="706"/>
    <m/>
    <m/>
    <n v="555"/>
    <n v="0.78611898016997173"/>
  </r>
  <r>
    <x v="50"/>
    <n v="0.5620239312301113"/>
    <n v="16057940"/>
    <s v="FIVAY HIGH SCHOOL"/>
    <m/>
    <m/>
    <n v="927"/>
    <n v="1346"/>
    <m/>
    <m/>
    <n v="927"/>
    <n v="0.68870728083209509"/>
  </r>
  <r>
    <x v="50"/>
    <n v="0.5620239312301113"/>
    <n v="38670"/>
    <s v="FOX HOLLOW ELEMENTARY SCHOOL"/>
    <m/>
    <m/>
    <n v="507"/>
    <n v="574"/>
    <m/>
    <m/>
    <n v="507"/>
    <n v="0.88327526132404177"/>
  </r>
  <r>
    <x v="50"/>
    <n v="0.5620239312301113"/>
    <n v="38646"/>
    <s v="GULF HIGH SCHOOL"/>
    <m/>
    <m/>
    <n v="839"/>
    <n v="1242"/>
    <m/>
    <m/>
    <n v="839"/>
    <n v="0.67552334943639292"/>
  </r>
  <r>
    <x v="50"/>
    <n v="0.5620239312301113"/>
    <n v="16036224"/>
    <s v="GULF HIGHLANDS ELEMENTARY SCHOOL"/>
    <m/>
    <m/>
    <n v="547"/>
    <n v="623"/>
    <m/>
    <m/>
    <n v="547"/>
    <n v="0.8780096308186196"/>
  </r>
  <r>
    <x v="50"/>
    <n v="0.5620239312301113"/>
    <n v="38652"/>
    <s v="GULF MIDDLE SCHOOL"/>
    <m/>
    <m/>
    <n v="652"/>
    <n v="785"/>
    <m/>
    <m/>
    <n v="652"/>
    <n v="0.83057324840764335"/>
  </r>
  <r>
    <x v="50"/>
    <n v="0.5620239312301113"/>
    <n v="16041673"/>
    <s v="GULF TRACE ELEMENTARY SCHOOL"/>
    <m/>
    <m/>
    <n v="572"/>
    <n v="711"/>
    <m/>
    <m/>
    <n v="572"/>
    <n v="0.80450070323488043"/>
  </r>
  <r>
    <x v="50"/>
    <n v="0.5620239312301113"/>
    <n v="38708"/>
    <s v="GULFSIDE ELEMENTARY SCHOOL"/>
    <m/>
    <m/>
    <n v="435"/>
    <n v="491"/>
    <m/>
    <m/>
    <n v="435"/>
    <n v="0.88594704684317716"/>
  </r>
  <r>
    <x v="50"/>
    <n v="0.5620239312301113"/>
    <n v="38666"/>
    <s v="HUDSON ELEMENTARY SCHOOL"/>
    <m/>
    <m/>
    <n v="494"/>
    <n v="596"/>
    <m/>
    <m/>
    <n v="494"/>
    <n v="0.82885906040268453"/>
  </r>
  <r>
    <x v="50"/>
    <n v="0.5620239312301113"/>
    <n v="38671"/>
    <s v="HUDSON HIGH SCHOOL"/>
    <m/>
    <m/>
    <n v="816"/>
    <n v="1199"/>
    <m/>
    <m/>
    <n v="816"/>
    <n v="0.6805671392827356"/>
  </r>
  <r>
    <x v="50"/>
    <n v="0.5620239312301113"/>
    <n v="38673"/>
    <s v="HUDSON MIDDLE SCHOOL"/>
    <m/>
    <m/>
    <n v="597"/>
    <n v="746"/>
    <m/>
    <m/>
    <n v="597"/>
    <n v="0.80026809651474529"/>
  </r>
  <r>
    <x v="50"/>
    <n v="0.5620239312301113"/>
    <n v="16046586"/>
    <s v="IMAGINE SCHOOL AT LAND O' LAKES"/>
    <m/>
    <m/>
    <n v="133"/>
    <n v="749"/>
    <m/>
    <m/>
    <n v="133"/>
    <n v="0.17757009345794392"/>
  </r>
  <r>
    <x v="50"/>
    <n v="0.5620239312301113"/>
    <n v="37549"/>
    <s v="JAMES IRVIN EDUCATION CENTER"/>
    <m/>
    <m/>
    <n v="140"/>
    <n v="157"/>
    <m/>
    <m/>
    <n v="140"/>
    <n v="0.89171974522292996"/>
  </r>
  <r>
    <x v="50"/>
    <n v="0.5620239312301113"/>
    <n v="211085"/>
    <s v="JAMES M. MARLOWE ELEMENTARY SCHOOL"/>
    <m/>
    <m/>
    <n v="410"/>
    <n v="466"/>
    <m/>
    <m/>
    <n v="410"/>
    <n v="0.87982832618025753"/>
  </r>
  <r>
    <x v="50"/>
    <n v="0.5620239312301113"/>
    <n v="228377"/>
    <s v="JAMES W. MITCHELL HIGH ADULT EDUCATION"/>
    <m/>
    <m/>
    <m/>
    <m/>
    <m/>
    <m/>
    <n v="0"/>
    <n v="0"/>
  </r>
  <r>
    <x v="50"/>
    <n v="0.5620239312301113"/>
    <n v="220857"/>
    <s v="JAMES W. MITCHELL HIGH SCHOOL"/>
    <m/>
    <m/>
    <n v="580"/>
    <n v="1999"/>
    <m/>
    <m/>
    <n v="580"/>
    <n v="0.29014507253626814"/>
  </r>
  <r>
    <x v="50"/>
    <n v="0.5620239312301113"/>
    <n v="228386"/>
    <s v="JUVENILE DETENTION CENTER"/>
    <m/>
    <m/>
    <n v="10"/>
    <n v="30"/>
    <m/>
    <m/>
    <n v="10"/>
    <n v="0.33333333333333331"/>
  </r>
  <r>
    <x v="50"/>
    <n v="0.5620239312301113"/>
    <n v="37539"/>
    <s v="LACOOCHEE ELEMENTARY SCHOOL"/>
    <m/>
    <m/>
    <n v="371"/>
    <n v="381"/>
    <m/>
    <m/>
    <n v="371"/>
    <n v="0.97375328083989499"/>
  </r>
  <r>
    <x v="50"/>
    <n v="0.5620239312301113"/>
    <n v="38642"/>
    <s v="LAKE MYRTLE ELEMENTARY SCHOOL"/>
    <m/>
    <m/>
    <n v="228"/>
    <n v="615"/>
    <m/>
    <m/>
    <n v="228"/>
    <n v="0.37073170731707317"/>
  </r>
  <r>
    <x v="50"/>
    <n v="0.5620239312301113"/>
    <n v="38636"/>
    <s v="LAND O' LAKES HIGH SCHOOL"/>
    <m/>
    <m/>
    <n v="532"/>
    <n v="1731"/>
    <m/>
    <m/>
    <n v="532"/>
    <n v="0.30733679953783938"/>
  </r>
  <r>
    <x v="50"/>
    <n v="0.5620239312301113"/>
    <n v="16031241"/>
    <s v="LONGLEAF ELEMENTARY SCHOOL"/>
    <m/>
    <m/>
    <n v="215"/>
    <n v="659"/>
    <m/>
    <m/>
    <n v="215"/>
    <n v="0.32625189681335359"/>
  </r>
  <r>
    <x v="50"/>
    <n v="0.5620239312301113"/>
    <n v="38648"/>
    <s v="MARCHMAN TECHNICAL EDUCATION CENTER"/>
    <m/>
    <m/>
    <n v="35"/>
    <n v="60"/>
    <m/>
    <m/>
    <n v="35"/>
    <n v="0.58333333333333337"/>
  </r>
  <r>
    <x v="50"/>
    <n v="0.5620239312301113"/>
    <n v="38679"/>
    <s v="MITTYE P. LOCKE ELEMENTARY SCHOOL"/>
    <m/>
    <m/>
    <n v="474"/>
    <n v="579"/>
    <m/>
    <m/>
    <n v="474"/>
    <n v="0.81865284974093266"/>
  </r>
  <r>
    <x v="50"/>
    <n v="0.5620239312301113"/>
    <n v="38657"/>
    <s v="MOON LAKE ELEMENTARY SCHOOL"/>
    <m/>
    <m/>
    <n v="474"/>
    <n v="587"/>
    <m/>
    <m/>
    <n v="474"/>
    <n v="0.80749574105621802"/>
  </r>
  <r>
    <x v="50"/>
    <n v="0.5620239312301113"/>
    <n v="37540"/>
    <s v="MOORE-MICKENS EDUCATION CENTER"/>
    <m/>
    <m/>
    <m/>
    <m/>
    <m/>
    <m/>
    <n v="0"/>
    <n v="0"/>
  </r>
  <r>
    <x v="50"/>
    <n v="0.5620239312301113"/>
    <n v="16041672"/>
    <s v="NEW RIVER ELEMENTARY SCHOOL"/>
    <m/>
    <m/>
    <n v="368"/>
    <n v="689"/>
    <m/>
    <m/>
    <n v="368"/>
    <n v="0.5341074020319303"/>
  </r>
  <r>
    <x v="50"/>
    <n v="0.5620239312301113"/>
    <n v="38672"/>
    <s v="NORTHWEST ELEMENTARY SCHOOL"/>
    <m/>
    <m/>
    <n v="614"/>
    <n v="671"/>
    <m/>
    <m/>
    <n v="614"/>
    <n v="0.91505216095380026"/>
  </r>
  <r>
    <x v="50"/>
    <n v="0.5620239312301113"/>
    <n v="16036226"/>
    <s v="OAKSTEAD ELEMENTARY SCHOOL"/>
    <m/>
    <m/>
    <n v="320"/>
    <n v="1045"/>
    <m/>
    <m/>
    <n v="320"/>
    <n v="0.30622009569377989"/>
  </r>
  <r>
    <x v="50"/>
    <n v="0.5620239312301113"/>
    <n v="16057939"/>
    <s v="ODESSA ELEMENTARY SCHOOL"/>
    <m/>
    <m/>
    <n v="266"/>
    <n v="930"/>
    <m/>
    <m/>
    <n v="266"/>
    <n v="0.28602150537634408"/>
  </r>
  <r>
    <x v="50"/>
    <n v="0.5620239312301113"/>
    <n v="228381"/>
    <s v="PACE CENTER FOR GIRLS"/>
    <m/>
    <m/>
    <n v="3"/>
    <n v="54"/>
    <m/>
    <m/>
    <n v="3"/>
    <n v="5.5555555555555552E-2"/>
  </r>
  <r>
    <x v="50"/>
    <n v="0.5620239312301113"/>
    <n v="37544"/>
    <s v="PASCO ELEMENTARY SCHOOL"/>
    <m/>
    <m/>
    <n v="623"/>
    <n v="690"/>
    <m/>
    <m/>
    <n v="623"/>
    <n v="0.90289855072463765"/>
  </r>
  <r>
    <x v="50"/>
    <n v="0.5620239312301113"/>
    <n v="37545"/>
    <s v="PASCO HIGH SCHOOL"/>
    <m/>
    <m/>
    <n v="1118"/>
    <n v="1768"/>
    <m/>
    <m/>
    <n v="1118"/>
    <n v="0.63235294117647056"/>
  </r>
  <r>
    <x v="50"/>
    <n v="0.5620239312301113"/>
    <n v="37543"/>
    <s v="PASCO MIDDLE SCHOOL"/>
    <m/>
    <m/>
    <n v="682"/>
    <n v="914"/>
    <m/>
    <m/>
    <n v="682"/>
    <n v="0.74617067833698025"/>
  </r>
  <r>
    <x v="50"/>
    <n v="0.5620239312301113"/>
    <n v="16036230"/>
    <s v="PAUL R. SMITH MIDDLE SCHOOL"/>
    <m/>
    <m/>
    <n v="800"/>
    <n v="999"/>
    <m/>
    <m/>
    <n v="800"/>
    <n v="0.80080080080080085"/>
  </r>
  <r>
    <x v="50"/>
    <n v="0.5620239312301113"/>
    <n v="16076322"/>
    <s v="PEPIN ACADEMIES OF PASCO COUNTY"/>
    <m/>
    <m/>
    <n v="22"/>
    <n v="269"/>
    <m/>
    <m/>
    <n v="22"/>
    <n v="8.1784386617100371E-2"/>
  </r>
  <r>
    <x v="50"/>
    <n v="0.5620239312301113"/>
    <n v="16022587"/>
    <s v="PINE VIEW ELEMENTARY SCHOOL"/>
    <m/>
    <m/>
    <n v="240"/>
    <n v="567"/>
    <m/>
    <m/>
    <n v="240"/>
    <n v="0.42328042328042326"/>
  </r>
  <r>
    <x v="50"/>
    <n v="0.5620239312301113"/>
    <n v="38640"/>
    <s v="PINE VIEW MIDDLE SCHOOL"/>
    <m/>
    <m/>
    <n v="291"/>
    <n v="909"/>
    <m/>
    <m/>
    <n v="291"/>
    <n v="0.32013201320132012"/>
  </r>
  <r>
    <x v="50"/>
    <n v="0.5620239312301113"/>
    <n v="37558"/>
    <s v="RAYMOND B. STEWART MIDDLE SCHOOL"/>
    <m/>
    <m/>
    <n v="709"/>
    <n v="933"/>
    <m/>
    <m/>
    <n v="709"/>
    <n v="0.759914255091104"/>
  </r>
  <r>
    <x v="50"/>
    <n v="0.5620239312301113"/>
    <n v="38644"/>
    <s v="RICHEY ELEMENTARY SCHOOL"/>
    <m/>
    <m/>
    <n v="583"/>
    <n v="663"/>
    <m/>
    <m/>
    <n v="583"/>
    <n v="0.8793363499245852"/>
  </r>
  <r>
    <x v="50"/>
    <n v="0.5620239312301113"/>
    <n v="38650"/>
    <s v="RIDGEWOOD HIGH SCHOOL"/>
    <m/>
    <m/>
    <n v="846"/>
    <n v="1105"/>
    <m/>
    <m/>
    <n v="846"/>
    <n v="0.76561085972850673"/>
  </r>
  <r>
    <x v="50"/>
    <n v="0.5620239312301113"/>
    <n v="38663"/>
    <s v="RIVER RIDGE HIGH SCHOOL"/>
    <m/>
    <m/>
    <n v="701"/>
    <n v="1603"/>
    <m/>
    <m/>
    <n v="701"/>
    <n v="0.43730505302557704"/>
  </r>
  <r>
    <x v="50"/>
    <n v="0.5620239312301113"/>
    <n v="16045432"/>
    <s v="RIVER RIDGE MIDDLE SCHOOL"/>
    <m/>
    <m/>
    <n v="578"/>
    <n v="1089"/>
    <m/>
    <m/>
    <n v="578"/>
    <n v="0.53076216712580349"/>
  </r>
  <r>
    <x v="50"/>
    <n v="0.5620239312301113"/>
    <n v="37537"/>
    <s v="RODNEY B. COX ELEMENTARY SCHOOL"/>
    <m/>
    <m/>
    <n v="451"/>
    <n v="469"/>
    <m/>
    <m/>
    <n v="451"/>
    <n v="0.96162046908315568"/>
  </r>
  <r>
    <x v="50"/>
    <n v="0.5620239312301113"/>
    <n v="37547"/>
    <s v="SAN ANTONIO ELEMENTARY SCHOOL"/>
    <m/>
    <m/>
    <n v="456"/>
    <n v="652"/>
    <m/>
    <m/>
    <n v="456"/>
    <n v="0.69938650306748462"/>
  </r>
  <r>
    <x v="50"/>
    <n v="0.5620239312301113"/>
    <n v="195077"/>
    <s v="SAND PINE ELEMENTARY SCHOOL"/>
    <m/>
    <m/>
    <n v="216"/>
    <n v="613"/>
    <m/>
    <m/>
    <n v="216"/>
    <n v="0.35236541598694943"/>
  </r>
  <r>
    <x v="50"/>
    <n v="0.5620239312301113"/>
    <n v="38658"/>
    <s v="SCHRADER ELEMENTARY SCHOOL"/>
    <m/>
    <m/>
    <n v="504"/>
    <n v="629"/>
    <m/>
    <m/>
    <n v="504"/>
    <n v="0.80127186009538953"/>
  </r>
  <r>
    <x v="50"/>
    <n v="0.5620239312301113"/>
    <n v="38645"/>
    <s v="SCHWETTMAN EDUCATION CENTER"/>
    <m/>
    <m/>
    <n v="152"/>
    <n v="179"/>
    <m/>
    <m/>
    <n v="152"/>
    <n v="0.84916201117318435"/>
  </r>
  <r>
    <x v="50"/>
    <n v="0.5620239312301113"/>
    <n v="16031242"/>
    <s v="SEVEN OAKS ELEMENTARY SCHOOL"/>
    <m/>
    <m/>
    <n v="304"/>
    <n v="1102"/>
    <m/>
    <m/>
    <n v="304"/>
    <n v="0.27586206896551724"/>
  </r>
  <r>
    <x v="50"/>
    <n v="0.5620239312301113"/>
    <n v="38664"/>
    <s v="SEVEN SPRINGS ELEMENTARY SCHOOL"/>
    <m/>
    <m/>
    <n v="365"/>
    <n v="481"/>
    <m/>
    <m/>
    <n v="365"/>
    <n v="0.75883575883575882"/>
  </r>
  <r>
    <x v="50"/>
    <n v="0.5620239312301113"/>
    <n v="38665"/>
    <s v="SEVEN SPRINGS MIDDLE SCHOOL"/>
    <m/>
    <m/>
    <n v="482"/>
    <n v="1547"/>
    <m/>
    <m/>
    <n v="482"/>
    <n v="0.31157078215901746"/>
  </r>
  <r>
    <x v="50"/>
    <n v="0.5620239312301113"/>
    <n v="228382"/>
    <s v="SHERIFF'S DETENTION CENTER"/>
    <m/>
    <m/>
    <n v="1"/>
    <n v="11"/>
    <m/>
    <m/>
    <n v="1"/>
    <n v="9.0909090909090912E-2"/>
  </r>
  <r>
    <x v="50"/>
    <n v="0.5620239312301113"/>
    <n v="16041680"/>
    <s v="SUNLAKE HIGH SCHOOL"/>
    <m/>
    <m/>
    <n v="542"/>
    <n v="1827"/>
    <m/>
    <m/>
    <n v="542"/>
    <n v="0.29666119321291734"/>
  </r>
  <r>
    <x v="50"/>
    <n v="0.5620239312301113"/>
    <n v="220856"/>
    <s v="SUNRAY ELEMENTARY SCHOOL"/>
    <m/>
    <m/>
    <n v="471"/>
    <n v="550"/>
    <m/>
    <m/>
    <n v="471"/>
    <n v="0.85636363636363633"/>
  </r>
  <r>
    <x v="50"/>
    <n v="0.5620239312301113"/>
    <n v="37565"/>
    <s v="THOMAS E. WEIGHTMAN MIDDLE SCHOOL"/>
    <m/>
    <m/>
    <n v="568"/>
    <n v="1138"/>
    <m/>
    <m/>
    <n v="568"/>
    <n v="0.49912126537785589"/>
  </r>
  <r>
    <x v="50"/>
    <n v="0.5620239312301113"/>
    <n v="227089"/>
    <s v="TRINITY ELEMENTARY SCHOOL"/>
    <m/>
    <m/>
    <n v="146"/>
    <n v="610"/>
    <m/>
    <m/>
    <n v="146"/>
    <n v="0.23934426229508196"/>
  </r>
  <r>
    <x v="50"/>
    <n v="0.5620239312301113"/>
    <n v="16036225"/>
    <s v="TRINITY OAKS ELEMENTARY SCHOOL"/>
    <m/>
    <m/>
    <n v="179"/>
    <n v="719"/>
    <m/>
    <m/>
    <n v="179"/>
    <n v="0.24895688456189152"/>
  </r>
  <r>
    <x v="50"/>
    <n v="0.5620239312301113"/>
    <n v="16047525"/>
    <s v="VETERANS ELEMENTARY SCHOOL"/>
    <m/>
    <m/>
    <n v="299"/>
    <n v="814"/>
    <m/>
    <m/>
    <n v="299"/>
    <n v="0.36732186732186733"/>
  </r>
  <r>
    <x v="50"/>
    <n v="0.5620239312301113"/>
    <n v="16052491"/>
    <s v="WATERGRASS ELEMENTARY SCHOOL"/>
    <m/>
    <m/>
    <n v="332"/>
    <n v="619"/>
    <m/>
    <m/>
    <n v="332"/>
    <n v="0.53634894991922455"/>
  </r>
  <r>
    <x v="50"/>
    <n v="0.5620239312301113"/>
    <n v="232611"/>
    <s v="WESLEY CHAPEL ELEMENTARY SCHOOL"/>
    <m/>
    <m/>
    <n v="235"/>
    <n v="630"/>
    <m/>
    <m/>
    <n v="235"/>
    <n v="0.37301587301587302"/>
  </r>
  <r>
    <x v="50"/>
    <n v="0.5620239312301113"/>
    <n v="211089"/>
    <s v="WESLEY CHAPEL HIGH SCHOOL"/>
    <m/>
    <m/>
    <n v="774"/>
    <n v="1624"/>
    <m/>
    <m/>
    <n v="774"/>
    <n v="0.47660098522167488"/>
  </r>
  <r>
    <x v="50"/>
    <n v="0.5620239312301113"/>
    <n v="37560"/>
    <s v="WEST ZEPHYRHILLS ELEMENTARY SCHOOL"/>
    <m/>
    <m/>
    <n v="746"/>
    <n v="855"/>
    <m/>
    <m/>
    <n v="746"/>
    <n v="0.87251461988304091"/>
  </r>
  <r>
    <x v="50"/>
    <n v="0.5620239312301113"/>
    <n v="16036231"/>
    <s v="WIREGRASS RANCH HIGH SCHOOL"/>
    <m/>
    <m/>
    <n v="725"/>
    <n v="2353"/>
    <m/>
    <m/>
    <n v="725"/>
    <n v="0.30811729706757329"/>
  </r>
  <r>
    <x v="50"/>
    <n v="0.5620239312301113"/>
    <n v="37557"/>
    <s v="WOODLAND ELEMENTARY SCHOOL"/>
    <m/>
    <m/>
    <n v="799"/>
    <n v="987"/>
    <m/>
    <m/>
    <n v="799"/>
    <n v="0.80952380952380953"/>
  </r>
  <r>
    <x v="50"/>
    <n v="0.5620239312301113"/>
    <n v="37559"/>
    <s v="ZEPHYRHILLS HIGH SCHOOL"/>
    <m/>
    <m/>
    <n v="1105"/>
    <n v="1548"/>
    <m/>
    <m/>
    <n v="1105"/>
    <n v="0.71382428940568476"/>
  </r>
  <r>
    <x v="50"/>
    <n v="0.5620239312301113"/>
    <n v="38637"/>
    <s v="Sanders Memorial Elementary School"/>
    <m/>
    <m/>
    <n v="153"/>
    <n v="711"/>
    <m/>
    <m/>
    <n v="153"/>
    <n v="0.21518987341772153"/>
  </r>
  <r>
    <x v="50"/>
    <n v="0.5620239312301113"/>
    <n v="37564"/>
    <s v="Quail Hollow Elementary School"/>
    <m/>
    <m/>
    <n v="276"/>
    <n v="407"/>
    <m/>
    <m/>
    <n v="276"/>
    <n v="0.67813267813267808"/>
  </r>
  <r>
    <x v="50"/>
    <n v="0.5620239312301113"/>
    <n v="38630"/>
    <s v="Shady Hills Elementary School"/>
    <m/>
    <m/>
    <n v="366"/>
    <n v="485"/>
    <m/>
    <m/>
    <n v="366"/>
    <n v="0.75463917525773194"/>
  </r>
  <r>
    <x v="51"/>
    <n v="0.6210093385794162"/>
    <n v="16084298"/>
    <s v="AMI KIDS CENTER FOR PERSONAL GROWTH"/>
    <m/>
    <m/>
    <n v="2"/>
    <n v="39"/>
    <m/>
    <m/>
    <n v="2"/>
    <n v="5.128205128205128E-2"/>
  </r>
  <r>
    <x v="51"/>
    <n v="0.6210093385794162"/>
    <n v="38002"/>
    <s v="ANONA ELEMENTARY SCHOOL"/>
    <m/>
    <m/>
    <n v="239"/>
    <n v="443"/>
    <m/>
    <m/>
    <n v="239"/>
    <n v="0.53950338600451464"/>
  </r>
  <r>
    <x v="51"/>
    <n v="0.6210093385794162"/>
    <n v="37903"/>
    <s v="AZALEA ELEMENTARY SCHOOL"/>
    <m/>
    <m/>
    <n v="358"/>
    <n v="511"/>
    <m/>
    <m/>
    <n v="358"/>
    <n v="0.70058708414872795"/>
  </r>
  <r>
    <x v="51"/>
    <n v="0.6210093385794162"/>
    <n v="37899"/>
    <s v="AZALEA MIDDLE SCHOOL"/>
    <m/>
    <m/>
    <m/>
    <n v="1040"/>
    <n v="2014"/>
    <n v="0.72959999999999992"/>
    <n v="1040"/>
    <n v="1"/>
  </r>
  <r>
    <x v="51"/>
    <n v="0.6210093385794162"/>
    <n v="38015"/>
    <s v="BARDMOOR ELEMENTARY SCHOOL"/>
    <m/>
    <m/>
    <m/>
    <n v="590"/>
    <n v="2014"/>
    <n v="0.62460000000000004"/>
    <n v="589.62240000000008"/>
    <n v="0.99936000000000014"/>
  </r>
  <r>
    <x v="51"/>
    <n v="0.6210093385794162"/>
    <n v="38009"/>
    <s v="BAUDER ELEMENTARY SCHOOL"/>
    <m/>
    <m/>
    <n v="200"/>
    <n v="749"/>
    <m/>
    <m/>
    <n v="200"/>
    <n v="0.26702269692923897"/>
  </r>
  <r>
    <x v="51"/>
    <n v="0.6210093385794162"/>
    <n v="37921"/>
    <s v="BAY POINT ELEMENTARY SCHOOL"/>
    <m/>
    <m/>
    <m/>
    <n v="634"/>
    <n v="2015"/>
    <n v="0.53859999999999997"/>
    <n v="546.35583999999994"/>
    <n v="0.86175999999999986"/>
  </r>
  <r>
    <x v="51"/>
    <n v="0.6210093385794162"/>
    <n v="37922"/>
    <s v="BAY POINT MIDDLE SCHOOL"/>
    <m/>
    <m/>
    <m/>
    <n v="906"/>
    <n v="2014"/>
    <n v="0.59960000000000002"/>
    <n v="869.18016000000011"/>
    <n v="0.9593600000000001"/>
  </r>
  <r>
    <x v="51"/>
    <n v="0.6210093385794162"/>
    <n v="37878"/>
    <s v="BAY VISTA FUNDAMENTAL ELEMENTARY SCHOOL"/>
    <m/>
    <m/>
    <n v="243"/>
    <n v="645"/>
    <m/>
    <m/>
    <n v="243"/>
    <n v="0.37674418604651161"/>
  </r>
  <r>
    <x v="51"/>
    <n v="0.6210093385794162"/>
    <n v="16028372"/>
    <s v="BAYSIDE HIGH SCHOOL"/>
    <m/>
    <m/>
    <m/>
    <n v="290"/>
    <n v="2014"/>
    <n v="0.62970000000000004"/>
    <n v="290"/>
    <n v="1"/>
  </r>
  <r>
    <x v="51"/>
    <n v="0.6210093385794162"/>
    <n v="37882"/>
    <s v="BEAR CREEK ELEMENTARY SCHOOL"/>
    <m/>
    <m/>
    <m/>
    <n v="346"/>
    <n v="2014"/>
    <n v="0.79480000000000006"/>
    <n v="346"/>
    <n v="1"/>
  </r>
  <r>
    <x v="51"/>
    <n v="0.6210093385794162"/>
    <n v="37973"/>
    <s v="BELCHER ELEMENTARY SCHOOL"/>
    <m/>
    <m/>
    <n v="461"/>
    <n v="677"/>
    <m/>
    <m/>
    <n v="461"/>
    <n v="0.68094534711964549"/>
  </r>
  <r>
    <x v="51"/>
    <n v="0.6210093385794162"/>
    <n v="37952"/>
    <s v="BELLEAIR ELEMENTARY SCHOOL"/>
    <m/>
    <m/>
    <m/>
    <n v="631"/>
    <n v="2014"/>
    <n v="0.79720000000000002"/>
    <n v="631"/>
    <n v="1"/>
  </r>
  <r>
    <x v="51"/>
    <n v="0.6210093385794162"/>
    <n v="37893"/>
    <s v="BLANTON ELEMENTARY SCHOOL"/>
    <m/>
    <m/>
    <m/>
    <n v="549"/>
    <n v="2014"/>
    <n v="0.65949999999999998"/>
    <n v="549"/>
    <n v="1"/>
  </r>
  <r>
    <x v="51"/>
    <n v="0.6210093385794162"/>
    <n v="37884"/>
    <s v="BOCA CIEGA HIGH SCHOOL"/>
    <m/>
    <m/>
    <m/>
    <n v="1705"/>
    <n v="2014"/>
    <n v="0.47139999999999999"/>
    <n v="1285.9792"/>
    <n v="0.75424000000000002"/>
  </r>
  <r>
    <x v="51"/>
    <n v="0.6210093385794162"/>
    <n v="160988"/>
    <s v="BROOKER CREEK ELEMENTARY SCHOOL"/>
    <m/>
    <m/>
    <n v="68"/>
    <n v="535"/>
    <m/>
    <m/>
    <n v="68"/>
    <n v="0.12710280373831775"/>
  </r>
  <r>
    <x v="51"/>
    <n v="0.6210093385794162"/>
    <n v="37939"/>
    <s v="CALVIN A. HUNSINGER SCHOOL"/>
    <m/>
    <m/>
    <m/>
    <n v="95"/>
    <n v="2014"/>
    <n v="0.68"/>
    <n v="95"/>
    <n v="1"/>
  </r>
  <r>
    <x v="51"/>
    <n v="0.6210093385794162"/>
    <n v="37873"/>
    <s v="CAMPBELL PARK ELEMENTARY SCHOOL"/>
    <m/>
    <m/>
    <m/>
    <n v="636"/>
    <n v="2014"/>
    <n v="0.87260000000000004"/>
    <n v="636"/>
    <n v="1"/>
  </r>
  <r>
    <x v="51"/>
    <n v="0.6210093385794162"/>
    <n v="16070285"/>
    <s v="CAREER ACADEMIES OF SEMINOLE"/>
    <m/>
    <m/>
    <m/>
    <n v="0"/>
    <m/>
    <m/>
    <n v="0"/>
    <n v="0"/>
  </r>
  <r>
    <x v="51"/>
    <n v="0.6210093385794162"/>
    <n v="213290"/>
    <s v="CHARLES BRITT ACADEMY"/>
    <m/>
    <m/>
    <n v="1"/>
    <n v="28"/>
    <m/>
    <m/>
    <n v="1"/>
    <n v="3.5714285714285712E-2"/>
  </r>
  <r>
    <x v="51"/>
    <n v="0.6210093385794162"/>
    <n v="16070286"/>
    <s v="CHI CHI RODRIQUEZ ACADEMY"/>
    <m/>
    <m/>
    <m/>
    <n v="79"/>
    <n v="2014"/>
    <n v="0.7"/>
    <n v="79"/>
    <n v="1"/>
  </r>
  <r>
    <x v="51"/>
    <n v="0.6210093385794162"/>
    <n v="16066610"/>
    <s v="CLEARVIEW AVENUE ELEM. SCHOOL"/>
    <m/>
    <m/>
    <m/>
    <n v="0"/>
    <m/>
    <m/>
    <n v="0"/>
    <n v="0"/>
  </r>
  <r>
    <x v="51"/>
    <n v="0.6210093385794162"/>
    <n v="37970"/>
    <s v="CLEARWATER ADULT EDUCATION CENTER"/>
    <m/>
    <m/>
    <m/>
    <n v="1"/>
    <m/>
    <m/>
    <n v="0"/>
    <n v="0"/>
  </r>
  <r>
    <x v="51"/>
    <n v="0.6210093385794162"/>
    <n v="37947"/>
    <s v="CLEARWATER FUNDAMENTAL MIDDLE SCHOOL"/>
    <m/>
    <m/>
    <n v="212"/>
    <n v="825"/>
    <m/>
    <m/>
    <n v="212"/>
    <n v="0.25696969696969696"/>
  </r>
  <r>
    <x v="51"/>
    <n v="0.6210093385794162"/>
    <n v="37971"/>
    <s v="CLEARWATER HIGH SCHOOL"/>
    <m/>
    <m/>
    <n v="1131"/>
    <n v="2037"/>
    <m/>
    <m/>
    <n v="1131"/>
    <n v="0.55522827687776144"/>
  </r>
  <r>
    <x v="51"/>
    <n v="0.6210093385794162"/>
    <n v="37945"/>
    <s v="CLEARWATER INTERMEDIATE"/>
    <m/>
    <m/>
    <m/>
    <n v="306"/>
    <n v="2014"/>
    <n v="0.76269999999999993"/>
    <n v="306"/>
    <n v="1"/>
  </r>
  <r>
    <x v="51"/>
    <n v="0.6210093385794162"/>
    <n v="16066656"/>
    <s v="COACHMAN SERVICE CENTER"/>
    <m/>
    <m/>
    <m/>
    <n v="0"/>
    <m/>
    <m/>
    <n v="0"/>
    <n v="0"/>
  </r>
  <r>
    <x v="51"/>
    <n v="0.6210093385794162"/>
    <n v="37965"/>
    <s v="COUNTRYSIDE HIGH SCHOOL"/>
    <m/>
    <m/>
    <n v="853"/>
    <n v="2103"/>
    <m/>
    <m/>
    <n v="853"/>
    <n v="0.40561103185924868"/>
  </r>
  <r>
    <x v="51"/>
    <n v="0.6210093385794162"/>
    <n v="38029"/>
    <s v="CROSS BAYOU ELEMENTARY SCHOOL"/>
    <m/>
    <m/>
    <n v="314"/>
    <n v="454"/>
    <m/>
    <m/>
    <n v="314"/>
    <n v="0.69162995594713661"/>
  </r>
  <r>
    <x v="51"/>
    <n v="0.6210093385794162"/>
    <n v="38691"/>
    <s v="CURLEW CREEK ELEMENTARY SCHOOL"/>
    <m/>
    <m/>
    <n v="286"/>
    <n v="698"/>
    <m/>
    <m/>
    <n v="286"/>
    <n v="0.40974212034383956"/>
  </r>
  <r>
    <x v="51"/>
    <n v="0.6210093385794162"/>
    <n v="16049693"/>
    <s v="CURTIS FUNDAMENTAL ELEMENTARY"/>
    <m/>
    <m/>
    <n v="88"/>
    <n v="536"/>
    <m/>
    <m/>
    <n v="88"/>
    <n v="0.16417910447761194"/>
  </r>
  <r>
    <x v="51"/>
    <n v="0.6210093385794162"/>
    <n v="38692"/>
    <s v="CYPRESS WOODS ELEMENTARY SCHOOL"/>
    <m/>
    <m/>
    <n v="220"/>
    <n v="814"/>
    <m/>
    <m/>
    <n v="220"/>
    <n v="0.27027027027027029"/>
  </r>
  <r>
    <x v="51"/>
    <n v="0.6210093385794162"/>
    <n v="16036878"/>
    <s v="DISSTON GIFTED CENTER"/>
    <m/>
    <m/>
    <m/>
    <n v="0"/>
    <m/>
    <m/>
    <n v="0"/>
    <n v="0"/>
  </r>
  <r>
    <x v="51"/>
    <n v="0.6210093385794162"/>
    <n v="37894"/>
    <s v="DIXIE HOLLINS ADULT EDUCATION CENTER"/>
    <m/>
    <m/>
    <m/>
    <n v="0"/>
    <m/>
    <m/>
    <n v="0"/>
    <n v="0"/>
  </r>
  <r>
    <x v="51"/>
    <n v="0.6210093385794162"/>
    <n v="37895"/>
    <s v="DIXIE M. HOLLINS HIGH SCHOOL"/>
    <m/>
    <m/>
    <m/>
    <n v="1936"/>
    <n v="2014"/>
    <n v="0.46149999999999997"/>
    <n v="1429.5423999999998"/>
    <n v="0.73839999999999995"/>
  </r>
  <r>
    <x v="51"/>
    <n v="0.6210093385794162"/>
    <n v="16023235"/>
    <s v="DOUGLAS L. JAMERSON JR. ELEMENTARY"/>
    <m/>
    <m/>
    <n v="326"/>
    <n v="578"/>
    <m/>
    <m/>
    <n v="326"/>
    <n v="0.56401384083044981"/>
  </r>
  <r>
    <x v="51"/>
    <n v="0.6210093385794162"/>
    <n v="214875"/>
    <s v="DROPOUT PREVENTION SCHOOL"/>
    <m/>
    <m/>
    <n v="89"/>
    <n v="252"/>
    <m/>
    <m/>
    <n v="89"/>
    <n v="0.3531746031746032"/>
  </r>
  <r>
    <x v="51"/>
    <n v="0.6210093385794162"/>
    <n v="38717"/>
    <s v="DUNEDIN ELEMENTARY SCHOOL"/>
    <m/>
    <m/>
    <n v="515"/>
    <n v="602"/>
    <m/>
    <m/>
    <n v="515"/>
    <n v="0.85548172757475083"/>
  </r>
  <r>
    <x v="51"/>
    <n v="0.6210093385794162"/>
    <n v="38715"/>
    <s v="DUNEDIN HIGH SCHOOL"/>
    <m/>
    <m/>
    <n v="676"/>
    <n v="1406"/>
    <m/>
    <m/>
    <n v="676"/>
    <n v="0.48079658605974396"/>
  </r>
  <r>
    <x v="51"/>
    <n v="0.6210093385794162"/>
    <n v="38718"/>
    <s v="DUNEDIN HIGHLAND MIDDLE SCHOOL"/>
    <m/>
    <m/>
    <n v="690"/>
    <n v="1076"/>
    <m/>
    <m/>
    <n v="690"/>
    <n v="0.64126394052044611"/>
  </r>
  <r>
    <x v="51"/>
    <n v="0.6210093385794162"/>
    <n v="38704"/>
    <s v="EAST LAKE HIGH SCHOOL"/>
    <m/>
    <m/>
    <n v="458"/>
    <n v="2192"/>
    <m/>
    <m/>
    <n v="458"/>
    <n v="0.20894160583941607"/>
  </r>
  <r>
    <x v="51"/>
    <n v="0.6210093385794162"/>
    <n v="16083818"/>
    <s v="EAST LAKE MIDDLE SCHOOL ACADEMY OF ENGINEERING"/>
    <m/>
    <m/>
    <n v="57"/>
    <n v="396"/>
    <m/>
    <m/>
    <n v="57"/>
    <n v="0.14393939393939395"/>
  </r>
  <r>
    <x v="51"/>
    <n v="0.6210093385794162"/>
    <n v="37959"/>
    <s v="EISENHOWER ELEMENTARY SCHOOL"/>
    <m/>
    <m/>
    <m/>
    <n v="750"/>
    <n v="2014"/>
    <n v="0.61990000000000001"/>
    <n v="743.88"/>
    <n v="0.99183999999999994"/>
  </r>
  <r>
    <x v="51"/>
    <n v="0.6210093385794162"/>
    <n v="16084299"/>
    <s v="ESE COUNTYWIDE"/>
    <m/>
    <m/>
    <n v="5"/>
    <n v="56"/>
    <m/>
    <m/>
    <n v="5"/>
    <n v="8.9285714285714288E-2"/>
  </r>
  <r>
    <x v="51"/>
    <n v="0.6210093385794162"/>
    <n v="224473"/>
    <s v="EWES-ECKERD YOUTH CHALLENGE"/>
    <m/>
    <m/>
    <m/>
    <n v="61"/>
    <m/>
    <m/>
    <n v="0"/>
    <n v="0"/>
  </r>
  <r>
    <x v="51"/>
    <n v="0.6210093385794162"/>
    <n v="16084301"/>
    <s v="EXTENDED TRANSITION COUNTYWIDE"/>
    <m/>
    <m/>
    <n v="57"/>
    <n v="197"/>
    <m/>
    <m/>
    <n v="57"/>
    <n v="0.28934010152284262"/>
  </r>
  <r>
    <x v="51"/>
    <n v="0.6210093385794162"/>
    <n v="224482"/>
    <s v="EYES-E-NINI-HASSEE CAMP"/>
    <m/>
    <m/>
    <n v="1"/>
    <n v="33"/>
    <m/>
    <m/>
    <n v="1"/>
    <n v="3.0303030303030304E-2"/>
  </r>
  <r>
    <x v="51"/>
    <n v="0.6210093385794162"/>
    <n v="37910"/>
    <s v="FAIRMOUNT PARK ELEMENTARY SCHOOL"/>
    <m/>
    <m/>
    <m/>
    <n v="610"/>
    <n v="2014"/>
    <n v="0.85599999999999998"/>
    <n v="610"/>
    <n v="1"/>
  </r>
  <r>
    <x v="51"/>
    <n v="0.6210093385794162"/>
    <n v="37998"/>
    <s v="FITZGERALD MIDDLE SCHOOL"/>
    <m/>
    <m/>
    <n v="733"/>
    <n v="1104"/>
    <m/>
    <m/>
    <n v="733"/>
    <n v="0.66394927536231885"/>
  </r>
  <r>
    <x v="51"/>
    <n v="0.6210093385794162"/>
    <n v="38678"/>
    <s v="FOREST LAKES ELEMENTARY SCHOOL"/>
    <m/>
    <m/>
    <n v="213"/>
    <n v="537"/>
    <m/>
    <m/>
    <n v="213"/>
    <n v="0.39664804469273746"/>
  </r>
  <r>
    <x v="51"/>
    <n v="0.6210093385794162"/>
    <n v="37975"/>
    <s v="FRONTIER ELEMENTARY SCHOOL"/>
    <m/>
    <m/>
    <m/>
    <n v="645"/>
    <n v="2014"/>
    <n v="0.63570000000000004"/>
    <n v="645"/>
    <n v="1"/>
  </r>
  <r>
    <x v="51"/>
    <n v="0.6210093385794162"/>
    <n v="38001"/>
    <s v="FUGUITT ELEMENTARY SCHOOL"/>
    <m/>
    <m/>
    <m/>
    <n v="556"/>
    <n v="2014"/>
    <n v="0.60289999999999999"/>
    <n v="536.33983999999998"/>
    <n v="0.96463999999999994"/>
  </r>
  <r>
    <x v="51"/>
    <n v="0.6210093385794162"/>
    <n v="38686"/>
    <s v="GARRISON-JONES ELEMENTARY SCHOOL"/>
    <m/>
    <m/>
    <n v="365"/>
    <n v="663"/>
    <m/>
    <m/>
    <n v="365"/>
    <n v="0.55052790346907998"/>
  </r>
  <r>
    <x v="51"/>
    <n v="0.6210093385794162"/>
    <n v="37911"/>
    <s v="GIBBS HIGH SCHOOL"/>
    <m/>
    <m/>
    <m/>
    <n v="1349"/>
    <n v="2014"/>
    <n v="0.56659999999999999"/>
    <n v="1222.9494400000001"/>
    <n v="0.90656000000000003"/>
  </r>
  <r>
    <x v="51"/>
    <n v="0.6210093385794162"/>
    <n v="16079173"/>
    <s v="GULF BEACHES ELEMENTARY MAGNET SCHOOL"/>
    <m/>
    <m/>
    <n v="120"/>
    <n v="327"/>
    <m/>
    <m/>
    <n v="120"/>
    <n v="0.3669724770642202"/>
  </r>
  <r>
    <x v="51"/>
    <n v="0.6210093385794162"/>
    <n v="37887"/>
    <s v="GULFPORT MONTESSOURI ELEMENTARY SCHOOL"/>
    <m/>
    <m/>
    <m/>
    <n v="662"/>
    <n v="2014"/>
    <n v="0.78949999999999998"/>
    <n v="662"/>
    <n v="1"/>
  </r>
  <r>
    <x v="51"/>
    <n v="0.6210093385794162"/>
    <n v="37885"/>
    <s v="HAMILTON DISSTON SCHOOL"/>
    <m/>
    <m/>
    <m/>
    <n v="98"/>
    <n v="2015"/>
    <n v="0.69920000000000004"/>
    <n v="98"/>
    <n v="1"/>
  </r>
  <r>
    <x v="51"/>
    <n v="0.6210093385794162"/>
    <n v="37961"/>
    <s v="HIGH POINT ELEMENTARY SCHOOL"/>
    <m/>
    <m/>
    <m/>
    <n v="697"/>
    <n v="2014"/>
    <n v="0.71019999999999994"/>
    <n v="697"/>
    <n v="1"/>
  </r>
  <r>
    <x v="51"/>
    <n v="0.6210093385794162"/>
    <n v="38689"/>
    <s v="HIGHLAND LAKES ELEMENTARY SCHOOL"/>
    <m/>
    <m/>
    <n v="258"/>
    <n v="621"/>
    <m/>
    <m/>
    <n v="258"/>
    <n v="0.41545893719806765"/>
  </r>
  <r>
    <x v="51"/>
    <n v="0.6210093385794162"/>
    <n v="16084302"/>
    <s v="HOSPITAL/HOMEBOUND"/>
    <m/>
    <m/>
    <n v="41"/>
    <n v="176"/>
    <m/>
    <m/>
    <n v="41"/>
    <n v="0.23295454545454544"/>
  </r>
  <r>
    <x v="51"/>
    <n v="0.6210093385794162"/>
    <n v="16023237"/>
    <s v="JAMES B. SANDERLIN PK-8"/>
    <m/>
    <m/>
    <n v="227"/>
    <n v="586"/>
    <m/>
    <m/>
    <n v="227"/>
    <n v="0.38737201365187712"/>
  </r>
  <r>
    <x v="51"/>
    <n v="0.6210093385794162"/>
    <n v="37913"/>
    <s v="JOHN HOPKINS MIDDLE SCHOOL"/>
    <m/>
    <m/>
    <m/>
    <n v="720"/>
    <n v="2014"/>
    <n v="0.68319999999999992"/>
    <n v="720"/>
    <n v="1"/>
  </r>
  <r>
    <x v="51"/>
    <n v="0.6210093385794162"/>
    <n v="37930"/>
    <s v="JOHN M. SEXTON ELEMENTARY SCHOOL"/>
    <m/>
    <m/>
    <n v="478"/>
    <n v="618"/>
    <m/>
    <m/>
    <n v="478"/>
    <n v="0.77346278317152106"/>
  </r>
  <r>
    <x v="51"/>
    <n v="0.6210093385794162"/>
    <n v="38688"/>
    <s v="JOSEPH L. CARWISE MIDDLE SCHOOL"/>
    <m/>
    <m/>
    <n v="458"/>
    <n v="1091"/>
    <m/>
    <m/>
    <n v="458"/>
    <n v="0.41979835013748856"/>
  </r>
  <r>
    <x v="51"/>
    <n v="0.6210093385794162"/>
    <n v="16079174"/>
    <s v="KINGS HIGHWAY ELEMENTARY MAGNET SCHOOL"/>
    <m/>
    <m/>
    <m/>
    <n v="319"/>
    <n v="2015"/>
    <n v="0.65310000000000001"/>
    <n v="319"/>
    <n v="1"/>
  </r>
  <r>
    <x v="51"/>
    <n v="0.6210093385794162"/>
    <n v="38690"/>
    <s v="LAKE ST. GEORGE ELEMENTARY SCHOOL"/>
    <m/>
    <m/>
    <n v="292"/>
    <n v="616"/>
    <m/>
    <m/>
    <n v="292"/>
    <n v="0.47402597402597402"/>
  </r>
  <r>
    <x v="51"/>
    <n v="0.6210093385794162"/>
    <n v="37918"/>
    <s v="LAKEVIEW FUNDAMENTAL ELEMENTARY"/>
    <m/>
    <m/>
    <n v="132"/>
    <n v="348"/>
    <m/>
    <m/>
    <n v="132"/>
    <n v="0.37931034482758619"/>
  </r>
  <r>
    <x v="51"/>
    <n v="0.6210093385794162"/>
    <n v="37876"/>
    <s v="LAKEWOOD COMMUNITY"/>
    <m/>
    <m/>
    <m/>
    <n v="0"/>
    <m/>
    <m/>
    <n v="0"/>
    <n v="0"/>
  </r>
  <r>
    <x v="51"/>
    <n v="0.6210093385794162"/>
    <n v="37870"/>
    <s v="LAKEWOOD ELEMENTARY SCHOOL"/>
    <m/>
    <m/>
    <m/>
    <n v="464"/>
    <n v="2014"/>
    <n v="0.82930000000000004"/>
    <n v="464"/>
    <n v="1"/>
  </r>
  <r>
    <x v="51"/>
    <n v="0.6210093385794162"/>
    <n v="37877"/>
    <s v="LAKEWOOD HIGH SCHOOL"/>
    <m/>
    <m/>
    <n v="646"/>
    <n v="1173"/>
    <m/>
    <m/>
    <n v="646"/>
    <n v="0.55072463768115942"/>
  </r>
  <r>
    <x v="51"/>
    <n v="0.6210093385794162"/>
    <n v="37986"/>
    <s v="LARGO HIGH SCHOOL"/>
    <m/>
    <m/>
    <n v="839"/>
    <n v="1589"/>
    <m/>
    <m/>
    <n v="839"/>
    <n v="0.52800503461296411"/>
  </r>
  <r>
    <x v="51"/>
    <n v="0.6210093385794162"/>
    <n v="37990"/>
    <s v="LARGO MIDDLE SCHOOL"/>
    <m/>
    <m/>
    <m/>
    <n v="759"/>
    <n v="2014"/>
    <n v="0.62840000000000007"/>
    <n v="759"/>
    <n v="1"/>
  </r>
  <r>
    <x v="51"/>
    <n v="0.6210093385794162"/>
    <n v="37927"/>
    <s v="LEALMAN AVENUE ELEMENTARY SCHOOL"/>
    <m/>
    <m/>
    <m/>
    <n v="470"/>
    <n v="2014"/>
    <n v="0.81140000000000001"/>
    <n v="470"/>
    <n v="1"/>
  </r>
  <r>
    <x v="51"/>
    <n v="0.6210093385794162"/>
    <n v="37932"/>
    <s v="LEALMAN INTERMEDIATE"/>
    <m/>
    <m/>
    <m/>
    <n v="409"/>
    <n v="2014"/>
    <n v="0.78709999999999991"/>
    <n v="409"/>
    <n v="1"/>
  </r>
  <r>
    <x v="51"/>
    <n v="0.6210093385794162"/>
    <n v="37966"/>
    <s v="LEILA DAVIS ELEMENTARY SCHOOL"/>
    <m/>
    <m/>
    <n v="290"/>
    <n v="769"/>
    <m/>
    <m/>
    <n v="290"/>
    <n v="0.37711313394018203"/>
  </r>
  <r>
    <x v="51"/>
    <n v="0.6210093385794162"/>
    <n v="37855"/>
    <s v="LYNCH ELEMENTARY SCHOOL"/>
    <m/>
    <m/>
    <n v="547"/>
    <n v="691"/>
    <m/>
    <m/>
    <n v="547"/>
    <n v="0.79160636758321279"/>
  </r>
  <r>
    <x v="51"/>
    <n v="0.6210093385794162"/>
    <n v="37890"/>
    <s v="MADEIRA BEACH FUNDAMENTAL K-8"/>
    <m/>
    <m/>
    <n v="351"/>
    <n v="1389"/>
    <m/>
    <m/>
    <n v="351"/>
    <n v="0.25269978401727861"/>
  </r>
  <r>
    <x v="51"/>
    <n v="0.6210093385794162"/>
    <n v="38026"/>
    <s v="MARJORIE KINNAN RAWLINGS ELEM"/>
    <m/>
    <m/>
    <m/>
    <n v="652"/>
    <n v="2014"/>
    <n v="0.58709999999999996"/>
    <n v="612.46271999999999"/>
    <n v="0.93935999999999997"/>
  </r>
  <r>
    <x v="51"/>
    <n v="0.6210093385794162"/>
    <n v="37920"/>
    <s v="MAXIMO ELEMENTARY SCHOOL"/>
    <m/>
    <m/>
    <m/>
    <n v="416"/>
    <n v="2014"/>
    <n v="0.74670000000000003"/>
    <n v="416"/>
    <n v="1"/>
  </r>
  <r>
    <x v="51"/>
    <n v="0.6210093385794162"/>
    <n v="37957"/>
    <s v="MCMULLEN-BOOTH ELEMENTARY SCHOOL"/>
    <m/>
    <m/>
    <n v="454"/>
    <n v="741"/>
    <m/>
    <m/>
    <n v="454"/>
    <n v="0.61268556005398112"/>
  </r>
  <r>
    <x v="51"/>
    <n v="0.6210093385794162"/>
    <n v="37861"/>
    <s v="MEADOWLAWN MIDDLE SCHOOL"/>
    <m/>
    <m/>
    <n v="874"/>
    <n v="1177"/>
    <m/>
    <m/>
    <n v="874"/>
    <n v="0.7425658453695837"/>
  </r>
  <r>
    <x v="51"/>
    <n v="0.6210093385794162"/>
    <n v="37914"/>
    <s v="MELROSE ELEMENTARY SCHOOL"/>
    <m/>
    <m/>
    <m/>
    <n v="436"/>
    <n v="2014"/>
    <n v="0.86760000000000004"/>
    <n v="436"/>
    <n v="1"/>
  </r>
  <r>
    <x v="51"/>
    <n v="0.6210093385794162"/>
    <n v="37987"/>
    <s v="MILDRED HELMS ELEMENTARY SCHOOL"/>
    <m/>
    <m/>
    <m/>
    <n v="557"/>
    <n v="2014"/>
    <n v="0.63619999999999999"/>
    <n v="557"/>
    <n v="1"/>
  </r>
  <r>
    <x v="51"/>
    <n v="0.6210093385794162"/>
    <n v="37923"/>
    <s v="MOUNT VERNON ELEMENTARY SCHOOL"/>
    <m/>
    <m/>
    <m/>
    <n v="484"/>
    <n v="2014"/>
    <n v="0.70590000000000008"/>
    <n v="484"/>
    <n v="1"/>
  </r>
  <r>
    <x v="51"/>
    <n v="0.6210093385794162"/>
    <n v="16049674"/>
    <s v="NEW HEIGHTS ELEMENTARY SCHOOL"/>
    <m/>
    <m/>
    <m/>
    <n v="834"/>
    <n v="2014"/>
    <n v="0.66980000000000006"/>
    <n v="834"/>
    <n v="1"/>
  </r>
  <r>
    <x v="51"/>
    <n v="0.6210093385794162"/>
    <n v="38025"/>
    <s v="NINA HARRIS ESE CENTER"/>
    <m/>
    <m/>
    <m/>
    <n v="236"/>
    <n v="2014"/>
    <n v="0.44350000000000001"/>
    <n v="167.46559999999999"/>
    <n v="0.70960000000000001"/>
  </r>
  <r>
    <x v="51"/>
    <n v="0.6210093385794162"/>
    <n v="37868"/>
    <s v="NORTH SHORE ELEMENTARY SCHOOL"/>
    <m/>
    <m/>
    <n v="241"/>
    <n v="334"/>
    <m/>
    <m/>
    <n v="241"/>
    <n v="0.72155688622754488"/>
  </r>
  <r>
    <x v="51"/>
    <n v="0.6210093385794162"/>
    <n v="16070279"/>
    <s v="NORTH WARD ELEMENTARY SCHOOL"/>
    <m/>
    <m/>
    <m/>
    <n v="0"/>
    <m/>
    <m/>
    <n v="0"/>
    <n v="0"/>
  </r>
  <r>
    <x v="51"/>
    <n v="0.6210093385794162"/>
    <n v="16066608"/>
    <s v="NORTH WARD SECONDARY SCHOOL"/>
    <m/>
    <m/>
    <m/>
    <n v="0"/>
    <m/>
    <m/>
    <n v="0"/>
    <n v="0"/>
  </r>
  <r>
    <x v="51"/>
    <n v="0.6210093385794162"/>
    <n v="16035197"/>
    <s v="NORTHEAST COMMUNITY"/>
    <m/>
    <m/>
    <m/>
    <n v="0"/>
    <m/>
    <m/>
    <n v="0"/>
    <n v="0"/>
  </r>
  <r>
    <x v="51"/>
    <n v="0.6210093385794162"/>
    <n v="37929"/>
    <s v="NORTHEAST HIGH SCHOOL"/>
    <m/>
    <m/>
    <n v="1032"/>
    <n v="1802"/>
    <m/>
    <m/>
    <n v="1032"/>
    <n v="0.57269700332963369"/>
  </r>
  <r>
    <x v="51"/>
    <n v="0.6210093385794162"/>
    <n v="37902"/>
    <s v="NORTHWEST ELEMENTARY SCHOOL"/>
    <m/>
    <m/>
    <m/>
    <n v="602"/>
    <n v="2014"/>
    <n v="0.56059999999999999"/>
    <n v="539.96992"/>
    <n v="0.89695999999999998"/>
  </r>
  <r>
    <x v="51"/>
    <n v="0.6210093385794162"/>
    <n v="16066614"/>
    <s v="NORWOOD SECONDARY"/>
    <m/>
    <m/>
    <m/>
    <n v="0"/>
    <m/>
    <m/>
    <n v="0"/>
    <n v="0"/>
  </r>
  <r>
    <x v="51"/>
    <n v="0.6210093385794162"/>
    <n v="37969"/>
    <s v="OAK GROVE MIDDLE SCHOOL"/>
    <m/>
    <m/>
    <m/>
    <n v="1031"/>
    <n v="2015"/>
    <n v="0.50600000000000001"/>
    <n v="834.69760000000008"/>
    <n v="0.8096000000000001"/>
  </r>
  <r>
    <x v="51"/>
    <n v="0.6210093385794162"/>
    <n v="38006"/>
    <s v="OAKHURST ELEMENTARY SCHOOL"/>
    <m/>
    <m/>
    <n v="292"/>
    <n v="720"/>
    <m/>
    <m/>
    <n v="292"/>
    <n v="0.40555555555555556"/>
  </r>
  <r>
    <x v="51"/>
    <n v="0.6210093385794162"/>
    <n v="38676"/>
    <s v="OLDSMAR ELEMENTARY SCHOOL"/>
    <m/>
    <m/>
    <n v="287"/>
    <n v="553"/>
    <m/>
    <m/>
    <n v="287"/>
    <n v="0.51898734177215189"/>
  </r>
  <r>
    <x v="51"/>
    <n v="0.6210093385794162"/>
    <n v="37996"/>
    <s v="ORANGE GROVE ELEMENTARY SCHOOL"/>
    <m/>
    <m/>
    <n v="181"/>
    <n v="321"/>
    <m/>
    <m/>
    <n v="181"/>
    <n v="0.56386292834890961"/>
  </r>
  <r>
    <x v="51"/>
    <n v="0.6210093385794162"/>
    <n v="38012"/>
    <s v="OSCEOLA FUNDAMENTAL HIGH"/>
    <m/>
    <m/>
    <n v="387"/>
    <n v="1709"/>
    <m/>
    <m/>
    <n v="387"/>
    <n v="0.22644821533060269"/>
  </r>
  <r>
    <x v="51"/>
    <n v="0.6210093385794162"/>
    <n v="38013"/>
    <s v="OSCEOLA MIDDLE SCHOOL"/>
    <m/>
    <m/>
    <n v="709"/>
    <n v="1242"/>
    <m/>
    <m/>
    <n v="709"/>
    <n v="0.57085346215780997"/>
  </r>
  <r>
    <x v="51"/>
    <n v="0.6210093385794162"/>
    <n v="38684"/>
    <s v="OZONA ELEMENTARY SCHOOL"/>
    <m/>
    <m/>
    <n v="278"/>
    <n v="774"/>
    <m/>
    <m/>
    <n v="278"/>
    <n v="0.35917312661498707"/>
  </r>
  <r>
    <x v="51"/>
    <n v="0.6210093385794162"/>
    <n v="206455"/>
    <s v="PACE CENTER FOR GIRLS"/>
    <m/>
    <m/>
    <n v="26"/>
    <n v="54"/>
    <m/>
    <m/>
    <n v="26"/>
    <n v="0.48148148148148145"/>
  </r>
  <r>
    <x v="51"/>
    <n v="0.6210093385794162"/>
    <n v="38681"/>
    <s v="PALM HARBOR COMMUNITY SCHOOL"/>
    <m/>
    <m/>
    <m/>
    <n v="0"/>
    <m/>
    <m/>
    <n v="0"/>
    <n v="0"/>
  </r>
  <r>
    <x v="51"/>
    <n v="0.6210093385794162"/>
    <n v="16066613"/>
    <s v="PALM HARBOR ELEMENTARY SCHOOL"/>
    <m/>
    <m/>
    <m/>
    <n v="0"/>
    <m/>
    <m/>
    <n v="0"/>
    <n v="0"/>
  </r>
  <r>
    <x v="51"/>
    <n v="0.6210093385794162"/>
    <n v="38685"/>
    <s v="PALM HARBOR MIDDLE SCHOOL"/>
    <m/>
    <m/>
    <n v="473"/>
    <n v="1350"/>
    <m/>
    <m/>
    <n v="473"/>
    <n v="0.35037037037037039"/>
  </r>
  <r>
    <x v="51"/>
    <n v="0.6210093385794162"/>
    <n v="38682"/>
    <s v="PALM HARBOR UNIVERSITY HIGH"/>
    <m/>
    <m/>
    <n v="577"/>
    <n v="2501"/>
    <m/>
    <m/>
    <n v="577"/>
    <n v="0.23070771691323472"/>
  </r>
  <r>
    <x v="51"/>
    <n v="0.6210093385794162"/>
    <n v="37907"/>
    <s v="PASADENA FUNDAMENTAL ELEMENTARY SCHOOL"/>
    <m/>
    <m/>
    <n v="131"/>
    <n v="464"/>
    <m/>
    <m/>
    <n v="131"/>
    <n v="0.28232758620689657"/>
  </r>
  <r>
    <x v="51"/>
    <n v="0.6210093385794162"/>
    <n v="37958"/>
    <s v="PAUL B. STEPHENS ESE CENTER"/>
    <m/>
    <m/>
    <n v="112"/>
    <n v="197"/>
    <m/>
    <m/>
    <n v="112"/>
    <n v="0.56852791878172593"/>
  </r>
  <r>
    <x v="51"/>
    <n v="0.6210093385794162"/>
    <n v="37915"/>
    <s v="PERKINS ELEMENTARY SCHOOL"/>
    <m/>
    <m/>
    <n v="290"/>
    <n v="584"/>
    <m/>
    <m/>
    <n v="290"/>
    <n v="0.49657534246575341"/>
  </r>
  <r>
    <x v="51"/>
    <n v="0.6210093385794162"/>
    <n v="38028"/>
    <s v="PINELLAS CENTRAL ELEMENTARY SCHOOL"/>
    <m/>
    <m/>
    <n v="485"/>
    <n v="661"/>
    <m/>
    <m/>
    <n v="485"/>
    <n v="0.73373676248108921"/>
  </r>
  <r>
    <x v="51"/>
    <n v="0.6210093385794162"/>
    <n v="16084303"/>
    <s v="PINELLAS COUNTY JAIL"/>
    <m/>
    <m/>
    <n v="5"/>
    <n v="17"/>
    <m/>
    <m/>
    <n v="5"/>
    <n v="0.29411764705882354"/>
  </r>
  <r>
    <x v="51"/>
    <n v="0.6210093385794162"/>
    <n v="205067"/>
    <s v="PINELLAS DISTRICT OFFICE"/>
    <m/>
    <m/>
    <m/>
    <n v="0"/>
    <m/>
    <m/>
    <n v="0"/>
    <n v="0"/>
  </r>
  <r>
    <x v="51"/>
    <n v="0.6210093385794162"/>
    <n v="16083819"/>
    <s v="PINELLAS GULF COAST ACADEMY"/>
    <m/>
    <m/>
    <m/>
    <n v="345"/>
    <n v="2014"/>
    <n v="0.57179999999999997"/>
    <n v="315.6336"/>
    <n v="0.91488000000000003"/>
  </r>
  <r>
    <x v="51"/>
    <n v="0.6210093385794162"/>
    <n v="213293"/>
    <s v="PINELLAS JUVENILE DET CENTER"/>
    <m/>
    <m/>
    <n v="47"/>
    <n v="93"/>
    <m/>
    <m/>
    <n v="47"/>
    <n v="0.5053763440860215"/>
  </r>
  <r>
    <x v="51"/>
    <n v="0.6210093385794162"/>
    <n v="38023"/>
    <s v="PINELLAS PARK ELEMENTARY SCHOOL"/>
    <m/>
    <m/>
    <m/>
    <n v="617"/>
    <n v="2014"/>
    <n v="0.73829999999999996"/>
    <n v="617"/>
    <n v="1"/>
  </r>
  <r>
    <x v="51"/>
    <n v="0.6210093385794162"/>
    <n v="37997"/>
    <s v="PINELLAS PARK HIGH SCHOOL"/>
    <m/>
    <m/>
    <n v="1186"/>
    <n v="1985"/>
    <m/>
    <m/>
    <n v="1186"/>
    <n v="0.59748110831234258"/>
  </r>
  <r>
    <x v="51"/>
    <n v="0.6210093385794162"/>
    <n v="38024"/>
    <s v="PINELLAS PARK MIDDLE SCHOOL"/>
    <m/>
    <m/>
    <m/>
    <n v="1185"/>
    <n v="2014"/>
    <n v="0.56479999999999997"/>
    <n v="1070.8608000000002"/>
    <n v="0.90368000000000015"/>
  </r>
  <r>
    <x v="51"/>
    <n v="0.6210093385794162"/>
    <n v="16049673"/>
    <s v="PINELLAS SECONDARY SCHOOL"/>
    <m/>
    <m/>
    <m/>
    <n v="101"/>
    <n v="2014"/>
    <n v="0.73370000000000002"/>
    <n v="101"/>
    <n v="1"/>
  </r>
  <r>
    <x v="51"/>
    <n v="0.6210093385794162"/>
    <n v="16066659"/>
    <s v="PINELLAS TECHNICAL COLLEGE - CLEARWATER"/>
    <m/>
    <m/>
    <m/>
    <n v="0"/>
    <m/>
    <m/>
    <n v="0"/>
    <n v="0"/>
  </r>
  <r>
    <x v="51"/>
    <n v="0.6210093385794162"/>
    <n v="16066663"/>
    <s v="PINELLAS TECHNICAL COLLEGE - ST PETERSBURG"/>
    <m/>
    <m/>
    <m/>
    <n v="0"/>
    <m/>
    <m/>
    <n v="0"/>
    <n v="0"/>
  </r>
  <r>
    <x v="51"/>
    <n v="0.6210093385794162"/>
    <n v="16084304"/>
    <s v="PINELLAS TELESCHOOL"/>
    <m/>
    <m/>
    <n v="12"/>
    <n v="61"/>
    <m/>
    <m/>
    <n v="12"/>
    <n v="0.19672131147540983"/>
  </r>
  <r>
    <x v="51"/>
    <n v="0.6210093385794162"/>
    <n v="16084305"/>
    <s v="PINELLAS VIRTUAL K-12"/>
    <m/>
    <m/>
    <n v="42"/>
    <n v="224"/>
    <m/>
    <m/>
    <n v="42"/>
    <n v="0.1875"/>
  </r>
  <r>
    <x v="51"/>
    <n v="0.6210093385794162"/>
    <n v="37968"/>
    <s v="PLUMB ELEMENTARY SCHOOL"/>
    <m/>
    <m/>
    <n v="476"/>
    <n v="807"/>
    <m/>
    <m/>
    <n v="476"/>
    <n v="0.58983890954151175"/>
  </r>
  <r>
    <x v="51"/>
    <n v="0.6210093385794162"/>
    <n v="37949"/>
    <s v="PONCE DE LEON ELEMENTARY SCHOOL"/>
    <m/>
    <m/>
    <m/>
    <n v="593"/>
    <n v="2014"/>
    <n v="0.7661"/>
    <n v="593"/>
    <n v="1"/>
  </r>
  <r>
    <x v="51"/>
    <n v="0.6210093385794162"/>
    <n v="38017"/>
    <s v="RICHARD L. SANDERS SCHOOL"/>
    <m/>
    <m/>
    <m/>
    <n v="99"/>
    <n v="2014"/>
    <n v="0.74340000000000006"/>
    <n v="99"/>
    <n v="1"/>
  </r>
  <r>
    <x v="51"/>
    <n v="0.6210093385794162"/>
    <n v="38016"/>
    <s v="RIDGECREST ELEMENTARY SCHOOL"/>
    <m/>
    <m/>
    <n v="442"/>
    <n v="828"/>
    <m/>
    <m/>
    <n v="442"/>
    <n v="0.53381642512077299"/>
  </r>
  <r>
    <x v="51"/>
    <n v="0.6210093385794162"/>
    <n v="16070282"/>
    <s v="RIO VISTA ELEMENTARY SCHOOL"/>
    <m/>
    <m/>
    <m/>
    <n v="0"/>
    <m/>
    <m/>
    <n v="0"/>
    <n v="0"/>
  </r>
  <r>
    <x v="51"/>
    <n v="0.6210093385794162"/>
    <n v="38712"/>
    <s v="SAFETY HARBOR ELEMENTARY SCHOOL"/>
    <m/>
    <m/>
    <n v="268"/>
    <n v="616"/>
    <m/>
    <m/>
    <n v="268"/>
    <n v="0.43506493506493504"/>
  </r>
  <r>
    <x v="51"/>
    <n v="0.6210093385794162"/>
    <n v="38710"/>
    <s v="SAFETY HARBOR MIDDLE SCHOOL"/>
    <m/>
    <m/>
    <n v="654"/>
    <n v="1241"/>
    <m/>
    <m/>
    <n v="654"/>
    <n v="0.52699435938759065"/>
  </r>
  <r>
    <x v="51"/>
    <n v="0.6210093385794162"/>
    <n v="38713"/>
    <s v="SAN JOSE ELEMENTARY SCHOOL"/>
    <m/>
    <m/>
    <n v="277"/>
    <n v="425"/>
    <m/>
    <m/>
    <n v="277"/>
    <n v="0.65176470588235291"/>
  </r>
  <r>
    <x v="51"/>
    <n v="0.6210093385794162"/>
    <n v="37941"/>
    <s v="SANDY LANE ELEMENTARY SCHOOL"/>
    <m/>
    <m/>
    <m/>
    <n v="442"/>
    <n v="2014"/>
    <n v="0.82189999999999996"/>
    <n v="442"/>
    <n v="1"/>
  </r>
  <r>
    <x v="51"/>
    <n v="0.6210093385794162"/>
    <n v="37854"/>
    <s v="SAWGRASS LAKE ELEMENTARY SCHOOL"/>
    <m/>
    <m/>
    <n v="485"/>
    <n v="708"/>
    <m/>
    <m/>
    <n v="485"/>
    <n v="0.68502824858757061"/>
  </r>
  <r>
    <x v="51"/>
    <n v="0.6210093385794162"/>
    <n v="37995"/>
    <s v="SEMINOLE ELEMENTARY SCHOOL"/>
    <m/>
    <m/>
    <n v="368"/>
    <n v="602"/>
    <m/>
    <m/>
    <n v="368"/>
    <n v="0.61129568106312293"/>
  </r>
  <r>
    <x v="51"/>
    <n v="0.6210093385794162"/>
    <n v="38011"/>
    <s v="SEMINOLE HIGH SCHOOL"/>
    <m/>
    <m/>
    <n v="699"/>
    <n v="2089"/>
    <m/>
    <m/>
    <n v="699"/>
    <n v="0.33460986117759695"/>
  </r>
  <r>
    <x v="51"/>
    <n v="0.6210093385794162"/>
    <n v="38007"/>
    <s v="SEMINOLE MIDDLE SCHOOL"/>
    <m/>
    <m/>
    <n v="508"/>
    <n v="1124"/>
    <m/>
    <m/>
    <n v="508"/>
    <n v="0.45195729537366547"/>
  </r>
  <r>
    <x v="51"/>
    <n v="0.6210093385794162"/>
    <n v="37896"/>
    <s v="SEVENTY-FOURTH ST. ELEMENTARY"/>
    <m/>
    <m/>
    <m/>
    <n v="535"/>
    <n v="2014"/>
    <n v="0.74029999999999996"/>
    <n v="535"/>
    <n v="1"/>
  </r>
  <r>
    <x v="51"/>
    <n v="0.6210093385794162"/>
    <n v="37853"/>
    <s v="SHORE ACRES ELEMENTARY SCHOOL"/>
    <m/>
    <m/>
    <n v="364"/>
    <n v="672"/>
    <m/>
    <m/>
    <n v="364"/>
    <n v="0.54166666666666663"/>
  </r>
  <r>
    <x v="51"/>
    <n v="0.6210093385794162"/>
    <n v="37982"/>
    <s v="SKYCREST ELEMENTARY SCHOOL"/>
    <m/>
    <m/>
    <m/>
    <n v="647"/>
    <n v="2014"/>
    <n v="0.73360000000000003"/>
    <n v="647"/>
    <n v="1"/>
  </r>
  <r>
    <x v="51"/>
    <n v="0.6210093385794162"/>
    <n v="38032"/>
    <s v="SKYVIEW ELEMENTARY SCHOOL"/>
    <m/>
    <m/>
    <m/>
    <n v="676"/>
    <n v="2014"/>
    <n v="0.69519999999999993"/>
    <n v="676"/>
    <n v="1"/>
  </r>
  <r>
    <x v="51"/>
    <n v="0.6210093385794162"/>
    <n v="16066615"/>
    <s v="SOUTH WARD ELEMENTARY SCHOOL"/>
    <m/>
    <m/>
    <m/>
    <n v="0"/>
    <m/>
    <m/>
    <n v="0"/>
    <n v="0"/>
  </r>
  <r>
    <x v="51"/>
    <n v="0.6210093385794162"/>
    <n v="37999"/>
    <s v="SOUTHERN OAK ELEMENTARY SCHOOL"/>
    <m/>
    <m/>
    <m/>
    <n v="682"/>
    <n v="2014"/>
    <n v="0.55649999999999999"/>
    <n v="607.25280000000009"/>
    <n v="0.89040000000000019"/>
  </r>
  <r>
    <x v="51"/>
    <n v="0.6210093385794162"/>
    <n v="16066609"/>
    <s v="SOUTHSIDE FUNDAMENTAL MIDDLE"/>
    <m/>
    <m/>
    <m/>
    <n v="0"/>
    <m/>
    <m/>
    <n v="0"/>
    <n v="0"/>
  </r>
  <r>
    <x v="51"/>
    <n v="0.6210093385794162"/>
    <n v="37925"/>
    <s v="ST. PETERSBURG HIGH SCHOOL"/>
    <m/>
    <m/>
    <n v="838"/>
    <n v="2060"/>
    <m/>
    <m/>
    <n v="838"/>
    <n v="0.40679611650485437"/>
  </r>
  <r>
    <x v="51"/>
    <n v="0.6210093385794162"/>
    <n v="38014"/>
    <s v="STARKEY ELEMENTARY SCHOOL"/>
    <m/>
    <m/>
    <m/>
    <n v="632"/>
    <n v="2014"/>
    <n v="0.51129999999999998"/>
    <n v="517.02656000000002"/>
    <n v="0.81808000000000003"/>
  </r>
  <r>
    <x v="51"/>
    <n v="0.6210093385794162"/>
    <n v="38701"/>
    <s v="SUNSET HILLS ELEMENTARY SCHOOL"/>
    <m/>
    <m/>
    <n v="249"/>
    <n v="534"/>
    <m/>
    <m/>
    <n v="249"/>
    <n v="0.46629213483146065"/>
  </r>
  <r>
    <x v="51"/>
    <n v="0.6210093385794162"/>
    <n v="38680"/>
    <s v="SUTHERLAND ELEMENTARY SCHOOL"/>
    <m/>
    <m/>
    <n v="264"/>
    <n v="641"/>
    <m/>
    <m/>
    <n v="264"/>
    <n v="0.41185647425897037"/>
  </r>
  <r>
    <x v="51"/>
    <n v="0.6210093385794162"/>
    <n v="38702"/>
    <s v="TARPON SPRINGS ELEMENTARY SCHOOL"/>
    <m/>
    <m/>
    <m/>
    <n v="657"/>
    <n v="2014"/>
    <n v="0.69569999999999999"/>
    <n v="657"/>
    <n v="1"/>
  </r>
  <r>
    <x v="51"/>
    <n v="0.6210093385794162"/>
    <n v="38703"/>
    <s v="TARPON SPRINGS FUNDAMENTAL ELE"/>
    <m/>
    <m/>
    <n v="36"/>
    <n v="272"/>
    <m/>
    <m/>
    <n v="36"/>
    <n v="0.13235294117647059"/>
  </r>
  <r>
    <x v="51"/>
    <n v="0.6210093385794162"/>
    <n v="38700"/>
    <s v="TARPON SPRINGS HIGH SCHOOL"/>
    <m/>
    <m/>
    <n v="622"/>
    <n v="1384"/>
    <m/>
    <m/>
    <n v="622"/>
    <n v="0.44942196531791906"/>
  </r>
  <r>
    <x v="51"/>
    <n v="0.6210093385794162"/>
    <n v="38698"/>
    <s v="TARPON SPRINGS MIDDLE SCHOOL"/>
    <m/>
    <m/>
    <n v="420"/>
    <n v="870"/>
    <m/>
    <m/>
    <n v="420"/>
    <n v="0.48275862068965519"/>
  </r>
  <r>
    <x v="51"/>
    <n v="0.6210093385794162"/>
    <n v="16023233"/>
    <s v="THURGOOD MARSHALL FUNDAMENTAL"/>
    <m/>
    <m/>
    <n v="364"/>
    <n v="895"/>
    <m/>
    <m/>
    <n v="364"/>
    <n v="0.40670391061452515"/>
  </r>
  <r>
    <x v="51"/>
    <n v="0.6210093385794162"/>
    <n v="37850"/>
    <s v="TOMLINSON ADULT LEARNING CENTER"/>
    <m/>
    <m/>
    <m/>
    <n v="0"/>
    <m/>
    <m/>
    <n v="0"/>
    <n v="0"/>
  </r>
  <r>
    <x v="51"/>
    <n v="0.6210093385794162"/>
    <n v="37900"/>
    <s v="TYRONE MIDDLE SCHOOL"/>
    <m/>
    <m/>
    <m/>
    <n v="825"/>
    <n v="2014"/>
    <n v="0.57090000000000007"/>
    <n v="753.58800000000008"/>
    <n v="0.91344000000000014"/>
  </r>
  <r>
    <x v="51"/>
    <n v="0.6210093385794162"/>
    <n v="38000"/>
    <s v="WALSINGHAM ELEMENTARY SCHOOL"/>
    <m/>
    <m/>
    <m/>
    <n v="546"/>
    <n v="2014"/>
    <n v="0.57399999999999995"/>
    <n v="501.44639999999998"/>
    <n v="0.91839999999999999"/>
  </r>
  <r>
    <x v="51"/>
    <n v="0.6210093385794162"/>
    <n v="37897"/>
    <s v="WESTGATE ELEMENTARY SCHOOL"/>
    <m/>
    <m/>
    <m/>
    <n v="559"/>
    <n v="2014"/>
    <n v="0.61809999999999998"/>
    <n v="552.82864000000006"/>
    <n v="0.98896000000000006"/>
  </r>
  <r>
    <x v="51"/>
    <n v="0.6210093385794162"/>
    <n v="37871"/>
    <s v="WOODLAWN ELEMENTARY SCHOOL"/>
    <m/>
    <m/>
    <m/>
    <n v="366"/>
    <n v="2014"/>
    <n v="0.71230000000000004"/>
    <n v="366"/>
    <n v="1"/>
  </r>
  <r>
    <x v="52"/>
    <n v="0.82795063940702129"/>
    <n v="228419"/>
    <s v="ACHIEVEMENT ACADEMY- LAKELAND"/>
    <n v="120159003259"/>
    <m/>
    <m/>
    <n v="157"/>
    <n v="2015"/>
    <n v="61.52"/>
    <n v="157"/>
    <n v="1"/>
  </r>
  <r>
    <x v="52"/>
    <n v="0.82795063940702129"/>
    <n v="228419"/>
    <s v="ACHIEVEMENT ACADEMY-BARTOW"/>
    <m/>
    <s v="ACHIEVEMENT ACADEMY-BARTOW"/>
    <m/>
    <m/>
    <m/>
    <m/>
    <n v="0"/>
    <n v="0"/>
  </r>
  <r>
    <x v="52"/>
    <n v="0.82795063940702129"/>
    <n v="228419"/>
    <s v="ACHIEVEMENT ACADEMY-WINTER HAVEN"/>
    <m/>
    <s v="ACHIEVEMENT ACADEMY-WINTER HAVEN"/>
    <m/>
    <m/>
    <m/>
    <m/>
    <n v="0"/>
    <n v="0"/>
  </r>
  <r>
    <x v="52"/>
    <n v="0.82795063940702129"/>
    <n v="38134"/>
    <s v="ALTA VISTA ELEMENTARY SCHOOL"/>
    <s v="120159001722"/>
    <m/>
    <m/>
    <n v="832"/>
    <n v="2015"/>
    <n v="61.52"/>
    <n v="832"/>
    <n v="1"/>
  </r>
  <r>
    <x v="52"/>
    <n v="0.82795063940702129"/>
    <n v="38085"/>
    <s v="ALTURAS ELEMENTARY SCHOOL"/>
    <s v="120159001760"/>
    <m/>
    <m/>
    <n v="337"/>
    <n v="2015"/>
    <n v="61.52"/>
    <n v="337"/>
    <n v="1"/>
  </r>
  <r>
    <x v="52"/>
    <n v="0.82795063940702129"/>
    <n v="38091"/>
    <s v="AUBURNDALE CENTRAL ELEMENTARY SCHOOL"/>
    <s v="120159001749"/>
    <m/>
    <m/>
    <n v="462"/>
    <n v="2015"/>
    <n v="61.52"/>
    <n v="462"/>
    <n v="1"/>
  </r>
  <r>
    <x v="52"/>
    <n v="0.82795063940702129"/>
    <n v="38087"/>
    <s v="AUBURNDALE SENIOR HIGH SCHOOL"/>
    <s v="120159001745"/>
    <m/>
    <n v="939"/>
    <n v="1645"/>
    <m/>
    <m/>
    <n v="939"/>
    <n v="0.57082066869300907"/>
  </r>
  <r>
    <x v="52"/>
    <n v="0.82795063940702129"/>
    <n v="16027065"/>
    <s v="B.E.S.T. "/>
    <s v="120159002945"/>
    <m/>
    <m/>
    <n v="10"/>
    <n v="2015"/>
    <n v="61.52"/>
    <n v="10"/>
    <n v="1"/>
  </r>
  <r>
    <x v="52"/>
    <n v="0.82795063940702129"/>
    <n v="38103"/>
    <s v="BARTOW ELEMENTARY ACADEMY"/>
    <s v="120159001755"/>
    <m/>
    <n v="164"/>
    <n v="463"/>
    <m/>
    <m/>
    <n v="164"/>
    <n v="0.35421166306695462"/>
  </r>
  <r>
    <x v="52"/>
    <n v="0.82795063940702129"/>
    <n v="38106"/>
    <s v="BARTOW MIDDLE SCHOOL"/>
    <s v="120159001754"/>
    <m/>
    <m/>
    <n v="852"/>
    <n v="2015"/>
    <n v="61.52"/>
    <n v="852"/>
    <n v="1"/>
  </r>
  <r>
    <x v="52"/>
    <n v="0.82795063940702129"/>
    <n v="16082383"/>
    <s v="BARTOW SERVICE FACILITY (TRANSPORTATION)"/>
    <m/>
    <m/>
    <m/>
    <s v="0"/>
    <m/>
    <m/>
    <n v="0"/>
    <n v="0"/>
  </r>
  <r>
    <x v="52"/>
    <n v="0.82795063940702129"/>
    <n v="38107"/>
    <s v="BARTOW SR HIGH SCHOOL"/>
    <s v="120159001753"/>
    <m/>
    <m/>
    <n v="2146"/>
    <n v="2015"/>
    <n v="61.52"/>
    <n v="2146"/>
    <n v="1"/>
  </r>
  <r>
    <x v="52"/>
    <n v="0.82795063940702129"/>
    <n v="38107"/>
    <s v="INTERNATIONAL BACCALAUREATE AT BARTOW HIGH SCHOOL"/>
    <m/>
    <s v="INTERNATIONAL BACCALAUREATE AT BARTOW HIGH SCHOOL"/>
    <m/>
    <m/>
    <n v="2015"/>
    <n v="61.52"/>
    <n v="0"/>
    <n v="0"/>
  </r>
  <r>
    <x v="52"/>
    <n v="0.82795063940702129"/>
    <n v="38107"/>
    <s v="SUMMERLIN ACADEMY"/>
    <m/>
    <s v="SUMMERLIN ACADEMY"/>
    <m/>
    <m/>
    <n v="2015"/>
    <n v="61.52"/>
    <n v="0"/>
    <n v="0"/>
  </r>
  <r>
    <x v="52"/>
    <n v="0.82795063940702129"/>
    <n v="16082966"/>
    <s v="BARTOW YOUTH ACADEMY"/>
    <s v="120159008173"/>
    <m/>
    <m/>
    <n v="20"/>
    <m/>
    <m/>
    <n v="0"/>
    <n v="0"/>
  </r>
  <r>
    <x v="52"/>
    <n v="0.82795063940702129"/>
    <n v="38127"/>
    <s v="BEN HILL GRIFFIN JR ELEMENTARY SCHOOL"/>
    <s v="120159001982"/>
    <m/>
    <m/>
    <n v="401"/>
    <n v="2015"/>
    <n v="61.52"/>
    <n v="401"/>
    <n v="1"/>
  </r>
  <r>
    <x v="52"/>
    <n v="0.82795063940702129"/>
    <n v="16039984"/>
    <s v="BERKLEY ACCELERATED MIDDLE SCHOOL"/>
    <s v="120159004188"/>
    <m/>
    <n v="149"/>
    <n v="463"/>
    <m/>
    <m/>
    <n v="149"/>
    <n v="0.32181425485961124"/>
  </r>
  <r>
    <x v="52"/>
    <n v="0.82795063940702129"/>
    <n v="220878"/>
    <s v="BERKLEY ELEMENTARY SCHOOL"/>
    <s v="120159004441"/>
    <m/>
    <n v="230"/>
    <n v="697"/>
    <m/>
    <m/>
    <n v="230"/>
    <n v="0.32998565279770442"/>
  </r>
  <r>
    <x v="52"/>
    <n v="0.82795063940702129"/>
    <n v="38128"/>
    <s v="BETHUNE ACADEMY"/>
    <s v="120159001724"/>
    <m/>
    <m/>
    <n v="463"/>
    <n v="2015"/>
    <n v="61.52"/>
    <n v="463"/>
    <n v="1"/>
  </r>
  <r>
    <x v="52"/>
    <n v="0.82795063940702129"/>
    <n v="38049"/>
    <s v="BILL DUNCAN OPPORTUNITY CENTER"/>
    <s v="120159001989"/>
    <m/>
    <m/>
    <n v="65"/>
    <n v="2015"/>
    <n v="61.52"/>
    <n v="65"/>
    <n v="1"/>
  </r>
  <r>
    <x v="52"/>
    <n v="0.82795063940702129"/>
    <n v="38071"/>
    <s v="CARLTON PALMORE ELEMENTARY SCHOOL"/>
    <s v="120159001706"/>
    <m/>
    <m/>
    <n v="464"/>
    <n v="2015"/>
    <n v="61.52"/>
    <n v="464"/>
    <n v="1"/>
  </r>
  <r>
    <x v="52"/>
    <n v="0.82795063940702129"/>
    <n v="16082385"/>
    <s v="CENTRAL WAREHOUSE/B-1, B-2, B-3 &amp; B-4"/>
    <m/>
    <m/>
    <m/>
    <s v="0"/>
    <m/>
    <m/>
    <n v="0"/>
    <n v="0"/>
  </r>
  <r>
    <x v="52"/>
    <n v="0.82795063940702129"/>
    <n v="225525"/>
    <s v="CHAIN OF LAKES COLLEGIATE HIGH"/>
    <s v="120159005349"/>
    <m/>
    <n v="9"/>
    <n v="293"/>
    <m/>
    <m/>
    <n v="9"/>
    <n v="3.0716723549488054E-2"/>
  </r>
  <r>
    <x v="52"/>
    <n v="0.82795063940702129"/>
    <n v="16032762"/>
    <s v="CHAIN OF LAKES ELEMENTARY SCHOOL"/>
    <s v="120159005714"/>
    <m/>
    <m/>
    <n v="1106"/>
    <n v="2015"/>
    <n v="61.52"/>
    <n v="1106"/>
    <n v="1"/>
  </r>
  <r>
    <x v="52"/>
    <n v="0.82795063940702129"/>
    <n v="17002402"/>
    <s v="CITRUS RIDGE:  A CIVICS ACADEMY"/>
    <n v="1201590"/>
    <m/>
    <m/>
    <n v="767"/>
    <m/>
    <m/>
    <n v="0"/>
    <n v="0"/>
  </r>
  <r>
    <x v="52"/>
    <n v="0.82795063940702129"/>
    <n v="38092"/>
    <s v="CLARENCE BOSWELL ELEMENTARY SCHOOL"/>
    <s v="120159002401"/>
    <m/>
    <m/>
    <n v="424"/>
    <n v="2015"/>
    <n v="61.52"/>
    <n v="424"/>
    <n v="1"/>
  </r>
  <r>
    <x v="52"/>
    <n v="0.82795063940702129"/>
    <n v="38047"/>
    <s v="CLEVELAND COURT ELEMENTARY SCHOOL"/>
    <s v="120159001708"/>
    <m/>
    <m/>
    <n v="421"/>
    <n v="2015"/>
    <n v="61.52"/>
    <n v="421"/>
    <n v="1"/>
  </r>
  <r>
    <x v="52"/>
    <n v="0.82795063940702129"/>
    <n v="38034"/>
    <s v="COMBEE ELEMENTARY SCHOOL"/>
    <s v="120159001709"/>
    <m/>
    <m/>
    <n v="767"/>
    <n v="2015"/>
    <n v="61.52"/>
    <n v="767"/>
    <n v="1"/>
  </r>
  <r>
    <x v="52"/>
    <n v="0.82795063940702129"/>
    <n v="232233"/>
    <s v="COMPASS MIDDLE CHARTER SCHOOL"/>
    <s v="120159003925"/>
    <m/>
    <m/>
    <n v="159"/>
    <n v="2015"/>
    <n v="60.12"/>
    <n v="159"/>
    <n v="1"/>
  </r>
  <r>
    <x v="52"/>
    <n v="0.82795063940702129"/>
    <n v="38039"/>
    <s v="CRYSTAL LAKE ELEMENTARY SCHOOL"/>
    <s v="120159001710"/>
    <m/>
    <m/>
    <n v="588"/>
    <n v="2015"/>
    <n v="61.52"/>
    <n v="588"/>
    <n v="1"/>
  </r>
  <r>
    <x v="52"/>
    <n v="0.82795063940702129"/>
    <n v="38040"/>
    <s v="CRYSTAL LAKE MIDDLE SCHOOL"/>
    <s v="120159001782"/>
    <m/>
    <m/>
    <n v="898"/>
    <n v="2015"/>
    <n v="61.52"/>
    <n v="898"/>
    <n v="1"/>
  </r>
  <r>
    <x v="52"/>
    <n v="0.82795063940702129"/>
    <n v="38132"/>
    <s v="DANIEL JENKINS ACADEMY OF TECHNOLOGY MIDDLE SCHOOL"/>
    <n v="120159004435"/>
    <m/>
    <n v="349"/>
    <n v="493"/>
    <m/>
    <m/>
    <n v="349"/>
    <n v="0.7079107505070994"/>
  </r>
  <r>
    <x v="52"/>
    <n v="0.82795063940702129"/>
    <n v="16082667"/>
    <s v="DAVENPORT COMMUNITY CAMPUS"/>
    <s v="120159007992"/>
    <m/>
    <m/>
    <n v="273"/>
    <n v="2015"/>
    <n v="61.52"/>
    <n v="273"/>
    <n v="1"/>
  </r>
  <r>
    <x v="52"/>
    <n v="0.82795063940702129"/>
    <n v="38114"/>
    <s v="DAVENPORT SCHOOL OF THE ARTS"/>
    <s v="120159001725"/>
    <m/>
    <n v="649"/>
    <n v="1097"/>
    <m/>
    <m/>
    <n v="649"/>
    <n v="0.59161349134001828"/>
  </r>
  <r>
    <x v="52"/>
    <n v="0.82795063940702129"/>
    <n v="38179"/>
    <s v="DENISON MIDDLE SCHOOL"/>
    <s v="120159001727"/>
    <m/>
    <m/>
    <n v="862"/>
    <n v="2015"/>
    <n v="61.52"/>
    <n v="862"/>
    <n v="1"/>
  </r>
  <r>
    <x v="52"/>
    <n v="0.82795063940702129"/>
    <n v="38136"/>
    <s v="DISCOVERY ACADEMY OF LAKE ALFRED"/>
    <s v="120159003112"/>
    <m/>
    <n v="797"/>
    <n v="1042"/>
    <m/>
    <m/>
    <n v="797"/>
    <n v="0.76487523992322459"/>
  </r>
  <r>
    <x v="52"/>
    <n v="0.82795063940702129"/>
    <n v="16027607"/>
    <s v="DISTRICT ADMINISTRATION BUILDING"/>
    <n v="1201590"/>
    <m/>
    <m/>
    <m/>
    <m/>
    <m/>
    <n v="0"/>
    <n v="0"/>
  </r>
  <r>
    <x v="52"/>
    <n v="0.82795063940702129"/>
    <n v="38043"/>
    <s v="DIXIELAND ELEMENTARY SCHOOL"/>
    <s v="120159001712"/>
    <m/>
    <m/>
    <n v="501"/>
    <n v="2015"/>
    <n v="61.52"/>
    <n v="501"/>
    <n v="1"/>
  </r>
  <r>
    <x v="52"/>
    <n v="0.82795063940702129"/>
    <n v="38115"/>
    <s v="DON E WOODS OPPORTUNITY CENTER"/>
    <s v="120159003256"/>
    <m/>
    <m/>
    <n v="50"/>
    <n v="2015"/>
    <n v="61.52"/>
    <n v="50"/>
    <n v="1"/>
  </r>
  <r>
    <x v="52"/>
    <n v="0.82795063940702129"/>
    <n v="38035"/>
    <s v="DORIS A. SANDERS LEARNING CENTER"/>
    <s v="120159002402"/>
    <m/>
    <m/>
    <n v="106"/>
    <n v="2015"/>
    <n v="61.52"/>
    <n v="106"/>
    <n v="1"/>
  </r>
  <r>
    <x v="52"/>
    <n v="0.82795063940702129"/>
    <n v="234332"/>
    <s v="DR. NE ROBERTS ELEMENTARY SCHOOL"/>
    <s v="120159003926"/>
    <m/>
    <m/>
    <n v="738"/>
    <n v="2015"/>
    <n v="61.52"/>
    <n v="738"/>
    <n v="1"/>
  </r>
  <r>
    <x v="52"/>
    <n v="0.82795063940702129"/>
    <n v="38116"/>
    <s v="DUNDEE ELEMENTARY ACADEMY"/>
    <s v="120159001794"/>
    <m/>
    <m/>
    <n v="563"/>
    <n v="2015"/>
    <n v="61.52"/>
    <n v="563"/>
    <n v="1"/>
  </r>
  <r>
    <x v="52"/>
    <n v="0.82795063940702129"/>
    <n v="220879"/>
    <s v="DUNDEE RIDGE MIDDLE ACADEMY"/>
    <s v="120159003656"/>
    <m/>
    <m/>
    <n v="645"/>
    <n v="2015"/>
    <n v="61.52"/>
    <n v="645"/>
    <n v="1"/>
  </r>
  <r>
    <x v="52"/>
    <n v="0.82795063940702129"/>
    <n v="16082382"/>
    <s v="DWIGHT C SMITH CENTER"/>
    <m/>
    <m/>
    <m/>
    <m/>
    <m/>
    <m/>
    <n v="0"/>
    <n v="0"/>
  </r>
  <r>
    <x v="52"/>
    <n v="0.82795063940702129"/>
    <n v="38118"/>
    <s v="EAGLE LAKE ELEMENTARY SCHOOL"/>
    <s v="120159001788"/>
    <m/>
    <m/>
    <n v="516"/>
    <n v="2015"/>
    <n v="61.52"/>
    <n v="516"/>
    <n v="1"/>
  </r>
  <r>
    <x v="52"/>
    <n v="0.82795063940702129"/>
    <n v="38090"/>
    <s v="EAST AREA ADULT SCHOOL"/>
    <s v="120159007181"/>
    <m/>
    <m/>
    <n v="0"/>
    <m/>
    <m/>
    <n v="0"/>
    <n v="0"/>
  </r>
  <r>
    <x v="52"/>
    <n v="0.82795063940702129"/>
    <n v="38129"/>
    <s v="EASTSIDE ELEMENTARY SCHOOL"/>
    <s v="120159001723"/>
    <m/>
    <m/>
    <n v="875"/>
    <n v="2015"/>
    <n v="61.52"/>
    <n v="875"/>
    <n v="1"/>
  </r>
  <r>
    <x v="52"/>
    <n v="0.82795063940702129"/>
    <n v="38060"/>
    <s v="EDGAR L. PADGETT ELEMENTARY"/>
    <s v="120159001780"/>
    <m/>
    <m/>
    <n v="548"/>
    <n v="2015"/>
    <n v="61.52"/>
    <n v="548"/>
    <n v="1"/>
  </r>
  <r>
    <x v="52"/>
    <n v="0.82795063940702129"/>
    <n v="38193"/>
    <s v="ELBERT ELEMENTARY SCHOOL"/>
    <s v="120159001730"/>
    <m/>
    <m/>
    <n v="656"/>
    <n v="2015"/>
    <n v="61.52"/>
    <n v="656"/>
    <n v="1"/>
  </r>
  <r>
    <x v="52"/>
    <n v="0.82795063940702129"/>
    <n v="38109"/>
    <s v="FLORAL AVENUE ELEMENTARY SCHOOL"/>
    <s v="120159001756"/>
    <m/>
    <m/>
    <n v="553"/>
    <n v="2015"/>
    <n v="61.52"/>
    <n v="553"/>
    <n v="1"/>
  </r>
  <r>
    <x v="52"/>
    <n v="0.82795063940702129"/>
    <n v="38120"/>
    <s v="FORT MEADE MIDDLE/SENIOR HIGH SCHOOL"/>
    <s v="120159001743"/>
    <m/>
    <m/>
    <n v="724"/>
    <n v="2015"/>
    <n v="61.52"/>
    <n v="724"/>
    <n v="1"/>
  </r>
  <r>
    <x v="52"/>
    <n v="0.82795063940702129"/>
    <n v="38180"/>
    <s v="FRANK E. BRIGHAM ACADEMY"/>
    <s v="120159001728"/>
    <m/>
    <n v="207"/>
    <n v="548"/>
    <m/>
    <m/>
    <n v="207"/>
    <n v="0.37773722627737227"/>
  </r>
  <r>
    <x v="52"/>
    <n v="0.82795063940702129"/>
    <n v="38188"/>
    <s v="FRED G. GARNER ELEMENTARY SCHOOL"/>
    <s v="120159001731"/>
    <m/>
    <m/>
    <n v="672"/>
    <n v="2015"/>
    <n v="61.52"/>
    <n v="672"/>
    <n v="1"/>
  </r>
  <r>
    <x v="52"/>
    <n v="0.82795063940702129"/>
    <n v="38125"/>
    <s v="FROSTPROOF ELEMENTARY SCHOOL"/>
    <s v="120159001772"/>
    <m/>
    <m/>
    <n v="430"/>
    <n v="2015"/>
    <n v="61.52"/>
    <n v="430"/>
    <n v="1"/>
  </r>
  <r>
    <x v="52"/>
    <n v="0.82795063940702129"/>
    <n v="38126"/>
    <s v="FROSTPROOF MIDDLE/SENIOR HIGH"/>
    <s v="120159001796"/>
    <m/>
    <m/>
    <n v="1064"/>
    <n v="2015"/>
    <n v="61.52"/>
    <n v="1064"/>
    <n v="1"/>
  </r>
  <r>
    <x v="52"/>
    <n v="0.82795063940702129"/>
    <n v="38196"/>
    <s v="GARDEN GROVE ELEMENTARY SCHOOL"/>
    <s v="120159001789"/>
    <m/>
    <m/>
    <n v="570"/>
    <n v="2015"/>
    <n v="61.52"/>
    <n v="570"/>
    <n v="1"/>
  </r>
  <r>
    <x v="52"/>
    <n v="0.82795063940702129"/>
    <n v="38101"/>
    <s v="GAUSE ACADEMY OF LEADERSHIP"/>
    <s v="120159001781"/>
    <m/>
    <m/>
    <n v="186"/>
    <n v="2015"/>
    <n v="61.52"/>
    <n v="186"/>
    <n v="1"/>
  </r>
  <r>
    <x v="52"/>
    <n v="0.82795063940702129"/>
    <n v="38077"/>
    <s v="GEORGE W. JENKINS SENIOR HIGH"/>
    <s v="120159001985"/>
    <m/>
    <n v="894"/>
    <n v="2320"/>
    <m/>
    <m/>
    <n v="894"/>
    <n v="0.38534482758620692"/>
  </r>
  <r>
    <x v="52"/>
    <n v="0.82795063940702129"/>
    <n v="38108"/>
    <s v="GIBBONS STREET ELEMENTARY SCHOOL"/>
    <s v="120159001759"/>
    <m/>
    <m/>
    <n v="336"/>
    <n v="2015"/>
    <n v="61.52"/>
    <n v="336"/>
    <n v="1"/>
  </r>
  <r>
    <x v="52"/>
    <n v="0.82795063940702129"/>
    <n v="38067"/>
    <s v="GRIFFIN ELEMENTARY SCHOOL"/>
    <s v="120159001769"/>
    <m/>
    <m/>
    <n v="496"/>
    <n v="2015"/>
    <n v="61.52"/>
    <n v="496"/>
    <n v="1"/>
  </r>
  <r>
    <x v="52"/>
    <n v="0.82795063940702129"/>
    <n v="16082386"/>
    <s v="HAINES CITY FUELING FACILITY"/>
    <m/>
    <m/>
    <m/>
    <s v="0"/>
    <m/>
    <m/>
    <n v="0"/>
    <n v="0"/>
  </r>
  <r>
    <x v="52"/>
    <n v="0.82795063940702129"/>
    <n v="16061469"/>
    <s v="HAINES CITY HEADSTART CENTER"/>
    <s v="120159007586"/>
    <m/>
    <m/>
    <n v="90"/>
    <n v="2015"/>
    <n v="61.52"/>
    <n v="90"/>
    <n v="1"/>
  </r>
  <r>
    <x v="52"/>
    <n v="0.82795063940702129"/>
    <n v="38133"/>
    <s v="HAINES CITY SENIOR HIGH SCHOOL"/>
    <s v="120159001795"/>
    <m/>
    <m/>
    <n v="2451"/>
    <n v="2015"/>
    <n v="61.52"/>
    <n v="2451"/>
    <n v="1"/>
  </r>
  <r>
    <x v="52"/>
    <n v="0.82795063940702129"/>
    <n v="38133"/>
    <s v="INTERNATIONAL BACCALAUREATE-East"/>
    <m/>
    <s v="INTERNATIONAL BACCALAUREATE-East"/>
    <m/>
    <m/>
    <n v="2015"/>
    <n v="61.52"/>
    <n v="0"/>
    <n v="0"/>
  </r>
  <r>
    <x v="52"/>
    <n v="0.82795063940702129"/>
    <n v="16082558"/>
    <s v="HARTRIDGE ACADEMY"/>
    <s v="120159003788"/>
    <m/>
    <m/>
    <n v="239"/>
    <n v="2015"/>
    <n v="61.52"/>
    <n v="239"/>
    <n v="1"/>
  </r>
  <r>
    <x v="52"/>
    <n v="0.82795063940702129"/>
    <n v="16082387"/>
    <s v="HIGHLAND CITY BASEBALL PARK"/>
    <m/>
    <m/>
    <m/>
    <s v="0"/>
    <m/>
    <m/>
    <n v="0"/>
    <n v="0"/>
  </r>
  <r>
    <x v="52"/>
    <n v="0.82795063940702129"/>
    <n v="38135"/>
    <s v="HIGHLAND CITY ELEMENTARY SCHOOL"/>
    <s v="120159001761"/>
    <m/>
    <m/>
    <n v="440"/>
    <n v="2015"/>
    <n v="61.52"/>
    <n v="440"/>
    <n v="1"/>
  </r>
  <r>
    <x v="52"/>
    <n v="0.82795063940702129"/>
    <n v="16044333"/>
    <s v="HIGHLANDS GROVE ELEMENTARY SCHOOL"/>
    <s v="120159005338"/>
    <m/>
    <m/>
    <n v="749"/>
    <n v="2015"/>
    <n v="61.52"/>
    <n v="749"/>
    <n v="1"/>
  </r>
  <r>
    <x v="52"/>
    <n v="0.82795063940702129"/>
    <n v="16044337"/>
    <s v="HORIZONS ELEMENTARY SCHOOL"/>
    <s v="120159007399"/>
    <m/>
    <m/>
    <n v="1378"/>
    <n v="2015"/>
    <n v="61.52"/>
    <n v="1378"/>
    <n v="1"/>
  </r>
  <r>
    <x v="52"/>
    <n v="0.82795063940702129"/>
    <n v="16082557"/>
    <s v="HOSPITAL HOMEBOUND"/>
    <s v="120159004185"/>
    <m/>
    <n v="17"/>
    <n v="83"/>
    <m/>
    <m/>
    <n v="17"/>
    <n v="0.20481927710843373"/>
  </r>
  <r>
    <x v="52"/>
    <n v="0.82795063940702129"/>
    <n v="38178"/>
    <s v="INWOOD ELEMENTARY SCHOOL"/>
    <s v="120159001732"/>
    <m/>
    <m/>
    <n v="408"/>
    <n v="2015"/>
    <n v="61.52"/>
    <n v="408"/>
    <n v="1"/>
  </r>
  <r>
    <x v="52"/>
    <n v="0.82795063940702129"/>
    <n v="38100"/>
    <s v="JAMES E. STEPHENS ELEMENTARY SCHOOL"/>
    <s v="120159001791"/>
    <m/>
    <m/>
    <n v="351"/>
    <n v="2015"/>
    <n v="61.52"/>
    <n v="351"/>
    <n v="1"/>
  </r>
  <r>
    <x v="52"/>
    <n v="0.82795063940702129"/>
    <n v="38069"/>
    <s v="JAMES W. SIKES ELEMENTARY SCHOOL"/>
    <s v="120159002404"/>
    <m/>
    <n v="490"/>
    <n v="853"/>
    <m/>
    <m/>
    <n v="490"/>
    <n v="0.57444314185228607"/>
  </r>
  <r>
    <x v="52"/>
    <n v="0.82795063940702129"/>
    <n v="38105"/>
    <s v="JEAN O'DELL LEARNING CENTER"/>
    <s v="120159001757"/>
    <m/>
    <m/>
    <n v="88"/>
    <n v="2015"/>
    <n v="61.52"/>
    <n v="88"/>
    <n v="1"/>
  </r>
  <r>
    <x v="52"/>
    <n v="0.82795063940702129"/>
    <n v="38086"/>
    <s v="JERE L. STAMBAUGH MIDDLE"/>
    <s v="120159002456"/>
    <m/>
    <m/>
    <n v="889"/>
    <n v="2015"/>
    <n v="61.52"/>
    <n v="889"/>
    <n v="1"/>
  </r>
  <r>
    <x v="52"/>
    <n v="0.82795063940702129"/>
    <n v="38081"/>
    <s v="JESSE KEEN ELEMENTARY SCHOOL"/>
    <s v="120159001770"/>
    <m/>
    <m/>
    <n v="621"/>
    <n v="2015"/>
    <n v="61.52"/>
    <n v="621"/>
    <n v="1"/>
  </r>
  <r>
    <x v="52"/>
    <n v="0.82795063940702129"/>
    <n v="38187"/>
    <s v="JEWETT MIDDLE ACADEMY MAGNET"/>
    <s v="120159001739"/>
    <m/>
    <n v="253"/>
    <n v="623"/>
    <m/>
    <m/>
    <n v="253"/>
    <n v="0.406099518459069"/>
  </r>
  <r>
    <x v="52"/>
    <n v="0.82795063940702129"/>
    <n v="38186"/>
    <s v="JEWETT SCHOOL OF THE ARTS"/>
    <s v="120159001740"/>
    <m/>
    <n v="394"/>
    <n v="746"/>
    <m/>
    <m/>
    <n v="394"/>
    <n v="0.52815013404825739"/>
  </r>
  <r>
    <x v="52"/>
    <n v="0.82795063940702129"/>
    <n v="16082389"/>
    <s v="JIM MILES PROFESSIONAL DEVELOPMENT"/>
    <m/>
    <m/>
    <m/>
    <s v="0"/>
    <m/>
    <m/>
    <n v="0"/>
    <n v="0"/>
  </r>
  <r>
    <x v="52"/>
    <n v="0.82795063940702129"/>
    <n v="38184"/>
    <s v="JOHN SNIVELY ELEMENTARY"/>
    <s v="120159001734"/>
    <m/>
    <m/>
    <n v="441"/>
    <n v="2015"/>
    <n v="61.52"/>
    <n v="441"/>
    <n v="1"/>
  </r>
  <r>
    <x v="52"/>
    <n v="0.82795063940702129"/>
    <n v="16049457"/>
    <s v="KAREN M. SIEGEL ACADEMY"/>
    <s v="120159001736"/>
    <m/>
    <m/>
    <n v="161"/>
    <n v="2015"/>
    <n v="61.52"/>
    <n v="161"/>
    <n v="1"/>
  </r>
  <r>
    <x v="52"/>
    <n v="0.82795063940702129"/>
    <n v="38063"/>
    <s v="KATHLEEN ELEMENTARY SCHOOL"/>
    <s v="120159001768"/>
    <m/>
    <m/>
    <n v="559"/>
    <n v="2015"/>
    <n v="61.52"/>
    <n v="559"/>
    <n v="1"/>
  </r>
  <r>
    <x v="52"/>
    <n v="0.82795063940702129"/>
    <n v="38064"/>
    <s v="KATHLEEN MIDDLE SCHOOL"/>
    <s v="120159001767"/>
    <m/>
    <m/>
    <n v="714"/>
    <n v="2015"/>
    <n v="61.52"/>
    <n v="714"/>
    <n v="1"/>
  </r>
  <r>
    <x v="52"/>
    <n v="0.82795063940702129"/>
    <n v="38055"/>
    <s v="KATHLEEN SENIOR HIGH SCHOOL"/>
    <s v="120159001766"/>
    <s v="Central Florida Aerospace Academy"/>
    <m/>
    <n v="2234"/>
    <n v="2015"/>
    <n v="61.52"/>
    <n v="2234"/>
    <n v="1"/>
  </r>
  <r>
    <x v="52"/>
    <n v="0.82795063940702129"/>
    <n v="38158"/>
    <s v="KINGSFORD ELEMENTARY SCHOOL"/>
    <s v="120159001764"/>
    <m/>
    <m/>
    <n v="656"/>
    <n v="2015"/>
    <n v="61.52"/>
    <n v="656"/>
    <n v="1"/>
  </r>
  <r>
    <x v="52"/>
    <n v="0.82795063940702129"/>
    <n v="16082392"/>
    <s v="LAKE ALFRED BEST AT FRUITLAND PARK"/>
    <m/>
    <m/>
    <m/>
    <s v="0"/>
    <m/>
    <m/>
    <n v="0"/>
    <n v="0"/>
  </r>
  <r>
    <x v="52"/>
    <n v="0.82795063940702129"/>
    <n v="38139"/>
    <s v="LAKE ALFRED ELEMENTARY SCHOOL"/>
    <s v="120159001735"/>
    <m/>
    <m/>
    <n v="562"/>
    <n v="2015"/>
    <n v="61.52"/>
    <n v="562"/>
    <n v="1"/>
  </r>
  <r>
    <x v="52"/>
    <n v="0.82795063940702129"/>
    <n v="16082395"/>
    <s v="LAKE ALFRED FUELING FACILITY"/>
    <m/>
    <m/>
    <m/>
    <s v="0"/>
    <m/>
    <m/>
    <n v="0"/>
    <n v="0"/>
  </r>
  <r>
    <x v="52"/>
    <n v="0.82795063940702129"/>
    <n v="16049444"/>
    <s v="LAKE ALFRED-ADDAIR MIDDLE SCHOOL"/>
    <s v="120159007029"/>
    <m/>
    <m/>
    <n v="720"/>
    <n v="2015"/>
    <n v="61.52"/>
    <n v="720"/>
    <n v="1"/>
  </r>
  <r>
    <x v="52"/>
    <n v="0.82795063940702129"/>
    <n v="38059"/>
    <s v="LAKE GIBSON MIDDLE SCHOOL"/>
    <s v="120159001792"/>
    <m/>
    <m/>
    <n v="1125"/>
    <n v="2015"/>
    <n v="61.52"/>
    <n v="1125"/>
    <n v="1"/>
  </r>
  <r>
    <x v="52"/>
    <n v="0.82795063940702129"/>
    <n v="38057"/>
    <s v="LAKE GIBSON SENIOR HIGH SCHOOL"/>
    <s v="120159002405"/>
    <m/>
    <n v="1071"/>
    <n v="1867"/>
    <m/>
    <m/>
    <n v="1071"/>
    <n v="0.57364756293519015"/>
  </r>
  <r>
    <x v="52"/>
    <n v="0.82795063940702129"/>
    <n v="16082471"/>
    <s v="LAKE HAMILTON  DRIVE WAREHOUSE"/>
    <m/>
    <m/>
    <m/>
    <s v="0"/>
    <m/>
    <m/>
    <n v="0"/>
    <n v="0"/>
  </r>
  <r>
    <x v="52"/>
    <n v="0.82795063940702129"/>
    <n v="16039985"/>
    <s v="LAKE MARION CREEK MIDDLE SCHOOL"/>
    <n v="120159005346"/>
    <m/>
    <m/>
    <n v="1057"/>
    <n v="2015"/>
    <n v="61.52"/>
    <n v="1057"/>
    <n v="1"/>
  </r>
  <r>
    <x v="52"/>
    <n v="0.82795063940702129"/>
    <n v="38117"/>
    <s v="LAKE REGION HIGH SCHOOL"/>
    <s v="120159003016"/>
    <m/>
    <m/>
    <n v="1763"/>
    <n v="2015"/>
    <n v="61.52"/>
    <n v="1763"/>
    <n v="1"/>
  </r>
  <r>
    <x v="52"/>
    <n v="0.82795063940702129"/>
    <n v="38183"/>
    <s v="LAKE SHIPP ELEMENTARY SCHOOL"/>
    <s v="120159001733"/>
    <m/>
    <m/>
    <n v="562"/>
    <n v="2015"/>
    <n v="61.52"/>
    <n v="562"/>
    <n v="1"/>
  </r>
  <r>
    <x v="52"/>
    <n v="0.82795063940702129"/>
    <n v="16055559"/>
    <s v="LAKE WALES SERVICE FACILITY/LW-9 MAINT SHOP"/>
    <m/>
    <m/>
    <m/>
    <m/>
    <m/>
    <m/>
    <n v="0"/>
    <n v="0"/>
  </r>
  <r>
    <x v="52"/>
    <n v="0.82795063940702129"/>
    <n v="16082487"/>
    <s v="LAKELAND ALTERNATIVE ED CTR &amp; L-7 MAINT SHOP"/>
    <m/>
    <m/>
    <m/>
    <s v="0"/>
    <m/>
    <m/>
    <n v="0"/>
    <n v="0"/>
  </r>
  <r>
    <x v="52"/>
    <n v="0.82795063940702129"/>
    <n v="38072"/>
    <s v="LAKELAND HIGHLANDS MIDDLE SCHOOL"/>
    <s v="120159001793"/>
    <m/>
    <n v="595"/>
    <n v="1211"/>
    <m/>
    <m/>
    <n v="595"/>
    <n v="0.4913294797687861"/>
  </r>
  <r>
    <x v="52"/>
    <n v="0.82795063940702129"/>
    <n v="16082569"/>
    <s v="LAKELAND MONTESSORI MIDDLE SCHOOL"/>
    <s v="120159007728"/>
    <m/>
    <n v="10"/>
    <n v="60"/>
    <m/>
    <m/>
    <n v="10"/>
    <n v="0.16666666666666666"/>
  </r>
  <r>
    <x v="52"/>
    <n v="0.82795063940702129"/>
    <n v="16082570"/>
    <s v="LAKELAND MONTESSORI SCHOOL HOUSE"/>
    <s v="120159004178"/>
    <m/>
    <n v="10"/>
    <n v="80"/>
    <m/>
    <m/>
    <n v="10"/>
    <n v="0.125"/>
  </r>
  <r>
    <x v="52"/>
    <n v="0.82795063940702129"/>
    <n v="38038"/>
    <s v="LAKELAND SENIOR HIGH"/>
    <s v="120159001703"/>
    <m/>
    <n v="990"/>
    <n v="2201"/>
    <m/>
    <m/>
    <n v="990"/>
    <n v="0.44979554747841888"/>
  </r>
  <r>
    <x v="52"/>
    <n v="0.82795063940702129"/>
    <n v="38038"/>
    <s v="HARRISON SCHOOL OF THE ARTS"/>
    <m/>
    <s v="HARRISON SCHOOL OF THE ARTS"/>
    <m/>
    <m/>
    <m/>
    <m/>
    <n v="0"/>
    <n v="0"/>
  </r>
  <r>
    <x v="52"/>
    <n v="0.82795063940702129"/>
    <n v="16082488"/>
    <s v="LAKELAND SERVICE FACILITY/TRANSPORTATION"/>
    <m/>
    <m/>
    <m/>
    <s v="0"/>
    <m/>
    <m/>
    <n v="0"/>
    <n v="0"/>
  </r>
  <r>
    <x v="52"/>
    <n v="0.82795063940702129"/>
    <n v="16044350"/>
    <s v="LAUREL ELEMENTARY SCHOOL"/>
    <s v="120159006951"/>
    <m/>
    <m/>
    <n v="811"/>
    <n v="2015"/>
    <n v="61.52"/>
    <n v="811"/>
    <n v="1"/>
  </r>
  <r>
    <x v="52"/>
    <n v="0.82795063940702129"/>
    <n v="38036"/>
    <s v="LAWTON CHILES MIDDLE ACADEMY"/>
    <s v="120159003015"/>
    <m/>
    <n v="199"/>
    <n v="655"/>
    <m/>
    <m/>
    <n v="199"/>
    <n v="0.30381679389312977"/>
  </r>
  <r>
    <x v="52"/>
    <n v="0.82795063940702129"/>
    <n v="16055561"/>
    <s v="LEARNING SUPPORT "/>
    <m/>
    <m/>
    <m/>
    <s v="0"/>
    <m/>
    <m/>
    <n v="0"/>
    <n v="0"/>
  </r>
  <r>
    <x v="52"/>
    <n v="0.82795063940702129"/>
    <n v="38089"/>
    <s v="LENA VISTA ELEMENTARY SCHOOL"/>
    <s v="120159001748"/>
    <m/>
    <m/>
    <n v="845"/>
    <n v="2015"/>
    <n v="61.52"/>
    <n v="845"/>
    <n v="1"/>
  </r>
  <r>
    <x v="52"/>
    <n v="0.82795063940702129"/>
    <n v="38123"/>
    <s v="LEWIS ANNA WOODBURY ELEMENTARY (PK-3)"/>
    <s v="120159004438"/>
    <m/>
    <m/>
    <n v="713"/>
    <m/>
    <m/>
    <n v="0"/>
    <n v="0"/>
  </r>
  <r>
    <x v="52"/>
    <n v="0.82795063940702129"/>
    <n v="38123"/>
    <s v="LEWIS ANNA WOODBURY ELEMENTARY(4-5)"/>
    <m/>
    <s v="LEWIS ANNA WOODBURY ELEMENTARY(4-5)"/>
    <m/>
    <m/>
    <n v="2015"/>
    <n v="61.52"/>
    <n v="0"/>
    <n v="0"/>
  </r>
  <r>
    <x v="52"/>
    <n v="0.82795063940702129"/>
    <n v="38056"/>
    <s v="LINCOLN AVENUE ACADEMY"/>
    <s v="120159001718"/>
    <m/>
    <n v="157"/>
    <n v="588"/>
    <m/>
    <m/>
    <n v="157"/>
    <n v="0.26700680272108845"/>
  </r>
  <r>
    <x v="52"/>
    <n v="0.82795063940702129"/>
    <n v="38154"/>
    <s v="LOUGHMAN OAKS ELEMENTARY SCHOOL"/>
    <s v="120159001043"/>
    <m/>
    <m/>
    <n v="874"/>
    <n v="2015"/>
    <n v="61.52"/>
    <n v="874"/>
    <n v="1"/>
  </r>
  <r>
    <x v="52"/>
    <n v="0.82795063940702129"/>
    <n v="16082541"/>
    <s v="MAGNOLIA MONTESSORI ACADEMY"/>
    <s v="120159008234"/>
    <m/>
    <n v="1"/>
    <n v="92"/>
    <m/>
    <m/>
    <n v="1"/>
    <n v="1.0869565217391304E-2"/>
  </r>
  <r>
    <x v="52"/>
    <n v="0.82795063940702129"/>
    <n v="205858"/>
    <s v="MARK WILCOX CENTER"/>
    <m/>
    <m/>
    <m/>
    <s v="0"/>
    <m/>
    <m/>
    <n v="0"/>
    <n v="0"/>
  </r>
  <r>
    <x v="52"/>
    <n v="0.82795063940702129"/>
    <n v="38050"/>
    <s v="MAYNARD A. TRAVISS CAREER CENTER"/>
    <s v="120159001784"/>
    <m/>
    <m/>
    <n v="210"/>
    <n v="2015"/>
    <n v="61.52"/>
    <n v="210"/>
    <n v="1"/>
  </r>
  <r>
    <x v="52"/>
    <n v="0.82795063940702129"/>
    <n v="38050"/>
    <s v="MAYNARD A. TRAVISS TEEN PARENT PROGRAM"/>
    <m/>
    <s v="MAYNARD A. TRAVISS TEEN PARENT PROGRAM"/>
    <m/>
    <m/>
    <n v="2015"/>
    <n v="61.52"/>
    <n v="0"/>
    <n v="0"/>
  </r>
  <r>
    <x v="52"/>
    <n v="0.82795063940702129"/>
    <n v="16072343"/>
    <s v="MCKEEL ACADEMY OF TECHNOLOGY"/>
    <s v="120159001785"/>
    <m/>
    <n v="260"/>
    <n v="1306"/>
    <m/>
    <m/>
    <n v="260"/>
    <n v="0.19908116385911179"/>
  </r>
  <r>
    <x v="52"/>
    <n v="0.82795063940702129"/>
    <n v="16072347"/>
    <s v="MCKEEL CENTRAL ACADEMY"/>
    <s v="120159004137"/>
    <m/>
    <n v="170"/>
    <n v="570"/>
    <m/>
    <m/>
    <n v="170"/>
    <n v="0.2982456140350877"/>
  </r>
  <r>
    <x v="52"/>
    <n v="0.82795063940702129"/>
    <n v="38150"/>
    <s v="MCLAUGHLIN MIDDLE SCHOOL AND FINE ARTS ACADEMY"/>
    <s v="120159001773"/>
    <m/>
    <m/>
    <n v="847"/>
    <n v="2015"/>
    <n v="61.52"/>
    <n v="847"/>
    <n v="1"/>
  </r>
  <r>
    <x v="52"/>
    <n v="0.82795063940702129"/>
    <n v="38073"/>
    <s v="MEDULLA ELEMENTARY SCHOOL"/>
    <s v="120159001715"/>
    <m/>
    <m/>
    <n v="658"/>
    <n v="2015"/>
    <n v="61.52"/>
    <n v="658"/>
    <n v="1"/>
  </r>
  <r>
    <x v="52"/>
    <n v="0.82795063940702129"/>
    <n v="38157"/>
    <s v="MULBERRY MIDDLE SCHOOL"/>
    <s v="120159001765"/>
    <m/>
    <m/>
    <n v="1079"/>
    <n v="2015"/>
    <n v="61.52"/>
    <n v="1079"/>
    <n v="1"/>
  </r>
  <r>
    <x v="52"/>
    <n v="0.82795063940702129"/>
    <n v="38155"/>
    <s v="MULBERRY SENIOR HIGH SCHOOL"/>
    <s v="120159001762"/>
    <m/>
    <m/>
    <n v="1076"/>
    <n v="2015"/>
    <n v="61.52"/>
    <n v="1076"/>
    <n v="1"/>
  </r>
  <r>
    <x v="52"/>
    <n v="0.82795063940702129"/>
    <n v="16064142"/>
    <s v="NEW BEGINNINGS HIGH SCHOOL"/>
    <s v="120159007899"/>
    <m/>
    <m/>
    <n v="419"/>
    <n v="2015"/>
    <n v="61.52"/>
    <n v="419"/>
    <n v="1"/>
  </r>
  <r>
    <x v="52"/>
    <n v="0.82795063940702129"/>
    <n v="16027066"/>
    <s v="NEW HORIZONS"/>
    <s v="120159003261"/>
    <m/>
    <n v="16"/>
    <n v="16"/>
    <m/>
    <m/>
    <n v="16"/>
    <n v="1"/>
  </r>
  <r>
    <x v="52"/>
    <n v="0.82795063940702129"/>
    <n v="16082489"/>
    <s v="NORTH CENTRAL SUPPORT SERVICES"/>
    <m/>
    <m/>
    <m/>
    <s v="0"/>
    <m/>
    <m/>
    <n v="0"/>
    <n v="0"/>
  </r>
  <r>
    <x v="52"/>
    <n v="0.82795063940702129"/>
    <n v="38051"/>
    <s v="NORTH LAKELAND ELEMENTARY SCHOOL OF CHOICE"/>
    <s v="120159001716"/>
    <m/>
    <m/>
    <n v="758"/>
    <n v="2015"/>
    <n v="61.52"/>
    <n v="758"/>
    <n v="1"/>
  </r>
  <r>
    <x v="52"/>
    <n v="0.82795063940702129"/>
    <n v="16055556"/>
    <s v="NORTH LAKELAND MAINTENANCE SHOP L-4"/>
    <m/>
    <m/>
    <m/>
    <s v="0"/>
    <m/>
    <m/>
    <n v="0"/>
    <n v="0"/>
  </r>
  <r>
    <x v="52"/>
    <n v="0.82795063940702129"/>
    <n v="38119"/>
    <s v="OSCAR J. POPE ELEMENTARY SCHOOL"/>
    <s v="120159001783"/>
    <m/>
    <m/>
    <n v="505"/>
    <n v="2015"/>
    <n v="61.52"/>
    <n v="505"/>
    <n v="1"/>
  </r>
  <r>
    <x v="52"/>
    <n v="0.82795063940702129"/>
    <n v="16082572"/>
    <s v="OUR CHILDREN'S ACADEMY"/>
    <s v="120159005350"/>
    <m/>
    <m/>
    <n v="235"/>
    <m/>
    <m/>
    <n v="0"/>
    <n v="0"/>
  </r>
  <r>
    <x v="52"/>
    <n v="0.82795063940702129"/>
    <n v="16067032"/>
    <s v="PACE CENTER FOR GIRLS OF POLK"/>
    <s v="120159003789"/>
    <m/>
    <m/>
    <n v="50"/>
    <m/>
    <m/>
    <n v="0"/>
    <n v="0"/>
  </r>
  <r>
    <x v="52"/>
    <n v="0.82795063940702129"/>
    <n v="16044334"/>
    <s v="PALMETTO ELEMENTARY SCHOOL"/>
    <s v="120159005342"/>
    <m/>
    <m/>
    <n v="726"/>
    <n v="2015"/>
    <n v="61.52"/>
    <n v="726"/>
    <n v="1"/>
  </r>
  <r>
    <x v="52"/>
    <n v="0.82795063940702129"/>
    <n v="16082547"/>
    <s v="PEER CENTER"/>
    <m/>
    <m/>
    <m/>
    <m/>
    <m/>
    <m/>
    <n v="0"/>
    <n v="0"/>
  </r>
  <r>
    <x v="52"/>
    <n v="0.82795063940702129"/>
    <n v="38037"/>
    <s v="PHILIP O'BRIEN ELEMENTARY SCHOOL"/>
    <s v="120159001713"/>
    <m/>
    <m/>
    <n v="590"/>
    <n v="2015"/>
    <n v="61.52"/>
    <n v="590"/>
    <n v="1"/>
  </r>
  <r>
    <x v="52"/>
    <n v="0.82795063940702129"/>
    <n v="160817"/>
    <s v="PINEWOOD ELEMENTARY SCHOOL"/>
    <s v="120159004440"/>
    <m/>
    <m/>
    <n v="692"/>
    <n v="2015"/>
    <n v="61.52"/>
    <n v="692"/>
    <n v="1"/>
  </r>
  <r>
    <x v="52"/>
    <n v="0.82795063940702129"/>
    <n v="17002423"/>
    <s v="POLK ACCELERATION ACADEMY"/>
    <m/>
    <m/>
    <m/>
    <n v="1000"/>
    <n v="2015"/>
    <n v="60.12"/>
    <n v="1000"/>
    <n v="1"/>
  </r>
  <r>
    <x v="52"/>
    <n v="0.82795063940702129"/>
    <n v="38159"/>
    <s v="POLK CITY ELEMENTARY SCHOOL"/>
    <s v="120159001752"/>
    <m/>
    <m/>
    <n v="467"/>
    <n v="2015"/>
    <n v="61.52"/>
    <n v="467"/>
    <n v="1"/>
  </r>
  <r>
    <x v="52"/>
    <n v="0.82795063940702129"/>
    <n v="16083287"/>
    <s v="POLK COUNTY SHERIFF'S CENTRAL CENTER"/>
    <s v="120159003929"/>
    <m/>
    <n v="2"/>
    <n v="25"/>
    <m/>
    <m/>
    <n v="2"/>
    <n v="0.08"/>
  </r>
  <r>
    <x v="52"/>
    <n v="0.82795063940702129"/>
    <n v="205859"/>
    <s v="POLK COUNTY SHERIFFS REGIONAL DETENTION CENTER"/>
    <s v="120159007994"/>
    <m/>
    <n v="10"/>
    <n v="25"/>
    <m/>
    <m/>
    <n v="10"/>
    <n v="0.4"/>
  </r>
  <r>
    <x v="52"/>
    <n v="0.82795063940702129"/>
    <n v="16082559"/>
    <s v="POLK FULL TIME ESCHOOL"/>
    <s v="120159008317"/>
    <m/>
    <n v="15"/>
    <n v="105"/>
    <m/>
    <m/>
    <n v="15"/>
    <n v="0.14285714285714285"/>
  </r>
  <r>
    <x v="52"/>
    <n v="0.82795063940702129"/>
    <n v="213298"/>
    <s v="POLK HALFWAY HOUSE"/>
    <s v="120159002949"/>
    <m/>
    <n v="19"/>
    <n v="19"/>
    <m/>
    <m/>
    <n v="19"/>
    <n v="1"/>
  </r>
  <r>
    <x v="52"/>
    <n v="0.82795063940702129"/>
    <n v="16082560"/>
    <s v="POLK PRE-COLLEGIATE ACADEMY"/>
    <s v="120159007906"/>
    <m/>
    <n v="28"/>
    <n v="109"/>
    <m/>
    <m/>
    <n v="28"/>
    <n v="0.25688073394495414"/>
  </r>
  <r>
    <x v="52"/>
    <n v="0.82795063940702129"/>
    <n v="16082561"/>
    <s v="POLK STATE COLLEGE COLLEGIATE HIGH SCHOOL"/>
    <s v="120159004186"/>
    <m/>
    <n v="7"/>
    <n v="277"/>
    <m/>
    <m/>
    <n v="7"/>
    <n v="2.5270758122743681E-2"/>
  </r>
  <r>
    <x v="52"/>
    <n v="0.82795063940702129"/>
    <n v="16082562"/>
    <s v="POLK STATE LAKELAND GATEWAY TO COLLEGE CHARTER HIGH SCHOOL"/>
    <s v="120159008246"/>
    <m/>
    <n v="7"/>
    <n v="148"/>
    <m/>
    <m/>
    <n v="7"/>
    <n v="4.72972972972973E-2"/>
  </r>
  <r>
    <x v="52"/>
    <n v="0.82795063940702129"/>
    <n v="16082548"/>
    <s v="POLK SUPERINTENDENTS OFFICE - FOOD SERVICES"/>
    <n v="1201590"/>
    <m/>
    <m/>
    <s v="0"/>
    <m/>
    <m/>
    <n v="0"/>
    <n v="0"/>
  </r>
  <r>
    <x v="52"/>
    <n v="0.82795063940702129"/>
    <n v="16082567"/>
    <s v="POLK VIRTUAL INSTRUCTION PROGRAM"/>
    <s v="120159007686"/>
    <m/>
    <n v="6"/>
    <n v="68"/>
    <m/>
    <m/>
    <n v="6"/>
    <n v="8.8235294117647065E-2"/>
  </r>
  <r>
    <x v="52"/>
    <n v="0.82795063940702129"/>
    <n v="16082564"/>
    <s v="POLK VIRTUAL FRANCHISE"/>
    <s v="120159004180"/>
    <m/>
    <m/>
    <n v="0"/>
    <m/>
    <m/>
    <n v="0"/>
    <n v="0"/>
  </r>
  <r>
    <x v="52"/>
    <n v="0.82795063940702129"/>
    <n v="16082566"/>
    <s v="POLK VIRTUAL INSTRUCTION (COURSE OFFERINGS)"/>
    <s v="120159007993"/>
    <m/>
    <m/>
    <n v="0"/>
    <m/>
    <m/>
    <n v="0"/>
    <n v="0"/>
  </r>
  <r>
    <x v="52"/>
    <n v="0.82795063940702129"/>
    <n v="38156"/>
    <s v="PURCELL ELEMENTARY SCHOOL"/>
    <s v="120159001763"/>
    <m/>
    <m/>
    <n v="515"/>
    <n v="2015"/>
    <n v="61.52"/>
    <n v="515"/>
    <n v="1"/>
  </r>
  <r>
    <x v="52"/>
    <n v="0.82795063940702129"/>
    <n v="234333"/>
    <s v="R. BRUCE WAGNER ELEMENTARY SCHOOL"/>
    <s v="120159003923"/>
    <m/>
    <m/>
    <n v="799"/>
    <n v="2015"/>
    <n v="61.52"/>
    <n v="799"/>
    <n v="1"/>
  </r>
  <r>
    <x v="52"/>
    <n v="0.82795063940702129"/>
    <n v="38066"/>
    <s v="R. CLEM CHURCHWELL ELEMENTARY SCHOOL"/>
    <s v="120159002480"/>
    <m/>
    <m/>
    <n v="618"/>
    <n v="2015"/>
    <n v="61.52"/>
    <n v="618"/>
    <n v="1"/>
  </r>
  <r>
    <x v="52"/>
    <n v="0.82795063940702129"/>
    <n v="17002424"/>
    <s v="R.E.A.L. ACADEMY"/>
    <n v="1201590"/>
    <m/>
    <m/>
    <n v="175"/>
    <n v="2015"/>
    <n v="60.12"/>
    <n v="175"/>
    <n v="1"/>
  </r>
  <r>
    <x v="52"/>
    <n v="0.82795063940702129"/>
    <n v="38194"/>
    <s v="RIDGE CAREER CENTER"/>
    <s v="120159001787"/>
    <m/>
    <n v="25"/>
    <n v="185"/>
    <m/>
    <m/>
    <n v="25"/>
    <n v="0.13513513513513514"/>
  </r>
  <r>
    <x v="52"/>
    <n v="0.82795063940702129"/>
    <n v="38194"/>
    <s v="RIDGE TEEN PARENT PROGRAM"/>
    <m/>
    <s v="RIDGE TEEN PARENT PROGRAM"/>
    <m/>
    <m/>
    <m/>
    <m/>
    <n v="0"/>
    <n v="0"/>
  </r>
  <r>
    <x v="52"/>
    <n v="0.82795063940702129"/>
    <n v="16027067"/>
    <s v="RIDGE COMMUNITY HIGH SCHOOL"/>
    <s v="120159004179"/>
    <m/>
    <n v="1561"/>
    <n v="2532"/>
    <m/>
    <m/>
    <n v="1561"/>
    <n v="0.61650868878357035"/>
  </r>
  <r>
    <x v="52"/>
    <n v="0.82795063940702129"/>
    <n v="228416"/>
    <s v="RIDGEVIEW GLOBAL STUDIES ACADEMY"/>
    <s v="120159004437"/>
    <m/>
    <n v="644"/>
    <n v="984"/>
    <m/>
    <m/>
    <n v="644"/>
    <n v="0.65447154471544711"/>
  </r>
  <r>
    <x v="52"/>
    <n v="0.82795063940702129"/>
    <n v="38052"/>
    <s v="ROCHELLE SCHOOL OF THE ARTS"/>
    <s v="120159001719"/>
    <m/>
    <m/>
    <n v="800"/>
    <n v="2015"/>
    <n v="61.52"/>
    <n v="800"/>
    <n v="1"/>
  </r>
  <r>
    <x v="52"/>
    <n v="0.82795063940702129"/>
    <n v="38148"/>
    <s v="ROOSEVELT ACADEMY"/>
    <s v="120159001777"/>
    <m/>
    <m/>
    <n v="281"/>
    <n v="2015"/>
    <n v="61.52"/>
    <n v="281"/>
    <n v="1"/>
  </r>
  <r>
    <x v="52"/>
    <n v="0.82795063940702129"/>
    <n v="38083"/>
    <s v="ROSABELLE W. BLAKE ACADEMY"/>
    <s v="120159003927"/>
    <m/>
    <m/>
    <n v="734"/>
    <n v="2015"/>
    <n v="61.52"/>
    <n v="734"/>
    <n v="1"/>
  </r>
  <r>
    <x v="52"/>
    <n v="0.82795063940702129"/>
    <n v="220881"/>
    <s v="SANDHILL ELEMENTARY SCHOOL"/>
    <s v="120159004436"/>
    <m/>
    <m/>
    <n v="930"/>
    <n v="2015"/>
    <n v="61.52"/>
    <n v="930"/>
    <n v="1"/>
  </r>
  <r>
    <x v="52"/>
    <n v="0.82795063940702129"/>
    <n v="38075"/>
    <s v="SCOTT LAKE ELEMENTARY SCHOOL"/>
    <s v="120159001786"/>
    <m/>
    <m/>
    <n v="769"/>
    <n v="2015"/>
    <n v="61.52"/>
    <n v="769"/>
    <n v="1"/>
  </r>
  <r>
    <x v="52"/>
    <n v="0.82795063940702129"/>
    <n v="38131"/>
    <s v="SHELLEY S. BOONE MIDDLE SCHOOL"/>
    <s v="120159001721"/>
    <m/>
    <m/>
    <n v="926"/>
    <n v="2015"/>
    <n v="61.52"/>
    <n v="926"/>
    <n v="1"/>
  </r>
  <r>
    <x v="52"/>
    <n v="0.82795063940702129"/>
    <n v="213304"/>
    <s v="Sheriff's Youth Villa"/>
    <s v="120159006837"/>
    <m/>
    <m/>
    <n v="1"/>
    <m/>
    <m/>
    <n v="0"/>
    <n v="0"/>
  </r>
  <r>
    <x v="52"/>
    <n v="0.82795063940702129"/>
    <n v="16044335"/>
    <s v="SLEEPY HILL ELEMENTARY SCHOOL"/>
    <s v="120159005337"/>
    <m/>
    <m/>
    <n v="642"/>
    <n v="2015"/>
    <n v="61.52"/>
    <n v="642"/>
    <n v="1"/>
  </r>
  <r>
    <x v="52"/>
    <n v="0.82795063940702129"/>
    <n v="220882"/>
    <s v="SLEEPY HILL MIDDLE SCHOOL"/>
    <s v="120159003655"/>
    <m/>
    <m/>
    <n v="815"/>
    <n v="2015"/>
    <n v="61.52"/>
    <n v="815"/>
    <n v="1"/>
  </r>
  <r>
    <x v="52"/>
    <n v="0.82795063940702129"/>
    <n v="38068"/>
    <s v="SOCRUM ELEMENTARY SCHOOL"/>
    <s v="120159002895"/>
    <m/>
    <m/>
    <n v="628"/>
    <n v="2015"/>
    <n v="61.52"/>
    <n v="628"/>
    <n v="1"/>
  </r>
  <r>
    <x v="52"/>
    <n v="0.82795063940702129"/>
    <n v="16055557"/>
    <s v="SOUTH LAKELAND MAINTENANCE SHOP L-6"/>
    <m/>
    <m/>
    <m/>
    <s v="0"/>
    <m/>
    <m/>
    <n v="0"/>
    <n v="0"/>
  </r>
  <r>
    <x v="52"/>
    <n v="0.82795063940702129"/>
    <n v="16072346"/>
    <s v="SOUTH MCKEEL ACADEMY"/>
    <s v="120159005341"/>
    <m/>
    <n v="243"/>
    <n v="1165"/>
    <m/>
    <m/>
    <n v="243"/>
    <n v="0.20858369098712445"/>
  </r>
  <r>
    <x v="52"/>
    <n v="0.82795063940702129"/>
    <n v="38046"/>
    <s v="SOUTHWEST ELEMENTARY SCHOOL"/>
    <s v="120159001717"/>
    <m/>
    <m/>
    <n v="477"/>
    <n v="2015"/>
    <n v="61.52"/>
    <n v="477"/>
    <n v="1"/>
  </r>
  <r>
    <x v="52"/>
    <n v="0.82795063940702129"/>
    <n v="38045"/>
    <s v="SOUTHWEST MIDDLE SCHOOL"/>
    <s v="120159001705"/>
    <m/>
    <m/>
    <n v="712"/>
    <n v="2015"/>
    <n v="61.52"/>
    <n v="712"/>
    <n v="1"/>
  </r>
  <r>
    <x v="52"/>
    <n v="0.82795063940702129"/>
    <n v="16061404"/>
    <s v="SPESSARD L HOLLAND ELEMENTARY"/>
    <s v="120159007262"/>
    <m/>
    <m/>
    <n v="833"/>
    <n v="2015"/>
    <n v="61.52"/>
    <n v="833"/>
    <n v="1"/>
  </r>
  <r>
    <x v="52"/>
    <n v="0.82795063940702129"/>
    <n v="38147"/>
    <s v="SPOOK HILL ELEMENTARY SCHOOL"/>
    <s v="120159001776"/>
    <m/>
    <m/>
    <n v="642"/>
    <n v="2015"/>
    <n v="61.52"/>
    <n v="642"/>
    <n v="1"/>
  </r>
  <r>
    <x v="52"/>
    <n v="0.82795063940702129"/>
    <n v="16044336"/>
    <s v="TENOROC HIGH SCHOOL"/>
    <s v="120159007310"/>
    <m/>
    <m/>
    <n v="1217"/>
    <n v="2015"/>
    <n v="61.52"/>
    <n v="1217"/>
    <n v="1"/>
  </r>
  <r>
    <x v="52"/>
    <n v="0.82795063940702129"/>
    <n v="16082550"/>
    <s v="TENOROC SERVICE FACILITY"/>
    <m/>
    <m/>
    <m/>
    <s v="0"/>
    <m/>
    <m/>
    <n v="0"/>
    <n v="0"/>
  </r>
  <r>
    <x v="52"/>
    <n v="0.82795063940702129"/>
    <n v="16082573"/>
    <s v="TRANSITION SCHOOL"/>
    <s v="120159007835"/>
    <m/>
    <n v="4"/>
    <n v="55"/>
    <m/>
    <m/>
    <n v="4"/>
    <n v="7.2727272727272724E-2"/>
  </r>
  <r>
    <x v="52"/>
    <n v="0.82795063940702129"/>
    <n v="16082551"/>
    <s v="UA-1 SHOP/SC AREA"/>
    <m/>
    <m/>
    <m/>
    <s v="0"/>
    <m/>
    <m/>
    <n v="0"/>
    <n v="0"/>
  </r>
  <r>
    <x v="52"/>
    <n v="0.82795063940702129"/>
    <n v="38104"/>
    <s v="UNION ACADEMY"/>
    <s v="120159002457"/>
    <m/>
    <n v="153"/>
    <n v="397"/>
    <m/>
    <m/>
    <n v="153"/>
    <n v="0.38539042821158692"/>
  </r>
  <r>
    <x v="52"/>
    <n v="0.82795063940702129"/>
    <n v="38076"/>
    <s v="VALLEYVIEW ELEMENTARY SCHOOL"/>
    <s v="120159002894"/>
    <m/>
    <n v="307"/>
    <n v="729"/>
    <m/>
    <m/>
    <n v="307"/>
    <n v="0.42112482853223593"/>
  </r>
  <r>
    <x v="52"/>
    <n v="0.82795063940702129"/>
    <n v="38176"/>
    <s v="WAHNETA ELEMENTARY SCHOOL"/>
    <s v="120159001737"/>
    <m/>
    <m/>
    <n v="486"/>
    <n v="2015"/>
    <n v="61.52"/>
    <n v="486"/>
    <n v="1"/>
  </r>
  <r>
    <x v="52"/>
    <n v="0.82795063940702129"/>
    <n v="38088"/>
    <s v="WALTER CALDWELL ELEMENTARY SCHOOL"/>
    <s v="120159001750"/>
    <m/>
    <m/>
    <n v="652"/>
    <n v="2015"/>
    <n v="61.52"/>
    <n v="652"/>
    <n v="1"/>
  </r>
  <r>
    <x v="52"/>
    <n v="0.82795063940702129"/>
    <n v="38062"/>
    <s v="WENDELL WATSON ELEMENTARY SCHOOL"/>
    <s v="120159002893"/>
    <m/>
    <n v="443"/>
    <n v="771"/>
    <m/>
    <m/>
    <n v="443"/>
    <n v="0.57457846952010372"/>
  </r>
  <r>
    <x v="52"/>
    <n v="0.82795063940702129"/>
    <n v="38082"/>
    <s v="WEST AREA ADULT/COMMUNITY SCHOOL"/>
    <s v="120159007126"/>
    <m/>
    <m/>
    <n v="0"/>
    <m/>
    <m/>
    <n v="0"/>
    <n v="0"/>
  </r>
  <r>
    <x v="52"/>
    <n v="0.82795063940702129"/>
    <n v="38190"/>
    <s v="WESTWOOD MIDDLE SCHOOL"/>
    <s v="120159001729"/>
    <m/>
    <m/>
    <n v="758"/>
    <n v="2015"/>
    <n v="61.52"/>
    <n v="758"/>
    <n v="1"/>
  </r>
  <r>
    <x v="52"/>
    <n v="0.82795063940702129"/>
    <n v="16055560"/>
    <s v="WH5 Maintenance Shop"/>
    <m/>
    <m/>
    <m/>
    <s v="0"/>
    <m/>
    <m/>
    <n v="0"/>
    <n v="0"/>
  </r>
  <r>
    <x v="52"/>
    <n v="0.82795063940702129"/>
    <n v="38065"/>
    <s v="WINSTON ACADEMY OF ENGINEERING"/>
    <s v="120159001771"/>
    <m/>
    <m/>
    <n v="530"/>
    <n v="2015"/>
    <n v="61.52"/>
    <n v="530"/>
    <n v="1"/>
  </r>
  <r>
    <x v="52"/>
    <n v="0.82795063940702129"/>
    <n v="16061470"/>
    <s v="WINTER HAVEN HEAD START"/>
    <s v="120159007600"/>
    <m/>
    <m/>
    <n v="36"/>
    <n v="2015"/>
    <n v="61.52"/>
    <n v="36"/>
    <n v="1"/>
  </r>
  <r>
    <x v="52"/>
    <n v="0.82795063940702129"/>
    <n v="16082574"/>
    <s v="WINTER HAVEN PACE"/>
    <s v="120159007809"/>
    <m/>
    <m/>
    <n v="8"/>
    <n v="2015"/>
    <n v="61.52"/>
    <n v="8"/>
    <n v="1"/>
  </r>
  <r>
    <x v="52"/>
    <n v="0.82795063940702129"/>
    <n v="38182"/>
    <s v="WINTER HAVEN SENIOR HIGH SCHOOL"/>
    <s v="120159001726"/>
    <m/>
    <m/>
    <n v="2110"/>
    <n v="2015"/>
    <n v="61.52"/>
    <n v="2110"/>
    <n v="1"/>
  </r>
  <r>
    <x v="52"/>
    <n v="0.82795063940702129"/>
    <n v="213307"/>
    <s v="HIGHLANDS YOUTH ACADEMY"/>
    <m/>
    <m/>
    <m/>
    <m/>
    <m/>
    <m/>
    <n v="0"/>
    <n v="0"/>
  </r>
  <r>
    <x v="52"/>
    <n v="0.82795063940702129"/>
    <n v="16055562"/>
    <s v="WOODLAKE CENTER"/>
    <m/>
    <m/>
    <m/>
    <s v="0"/>
    <m/>
    <m/>
    <n v="0"/>
    <n v="0"/>
  </r>
  <r>
    <x v="53"/>
    <n v="1"/>
    <n v="34989"/>
    <s v="BROWNING-PEARCE ELEMENTARY SCHOOL"/>
    <m/>
    <m/>
    <m/>
    <n v="737"/>
    <n v="2015"/>
    <n v="0.67459999999999998"/>
    <n v="737"/>
    <n v="1"/>
  </r>
  <r>
    <x v="53"/>
    <n v="1"/>
    <n v="34955"/>
    <s v="C. H. PRICE MIDDLE SCHOOL"/>
    <m/>
    <m/>
    <m/>
    <n v="596"/>
    <n v="2015"/>
    <n v="0.67459999999999998"/>
    <n v="596"/>
    <n v="1"/>
  </r>
  <r>
    <x v="53"/>
    <n v="1"/>
    <n v="34980"/>
    <s v="C. L. OVERTURF JR 6TH GRADE CENTER"/>
    <m/>
    <m/>
    <m/>
    <n v="332"/>
    <n v="2015"/>
    <n v="0.67459999999999998"/>
    <n v="332"/>
    <n v="1"/>
  </r>
  <r>
    <x v="53"/>
    <n v="1"/>
    <n v="34895"/>
    <s v="CRESCENT CITY JUNIOR/SENIOR HIGH SCHOOL"/>
    <m/>
    <m/>
    <m/>
    <n v="699"/>
    <n v="2015"/>
    <n v="0.67459999999999998"/>
    <n v="699"/>
    <n v="1"/>
  </r>
  <r>
    <x v="53"/>
    <n v="1"/>
    <n v="34983"/>
    <s v="ELEANOR H. MILLER SCHOOL"/>
    <m/>
    <m/>
    <m/>
    <n v="126"/>
    <n v="2015"/>
    <n v="0.67459999999999998"/>
    <n v="126"/>
    <n v="1"/>
  </r>
  <r>
    <x v="53"/>
    <n v="1"/>
    <n v="34894"/>
    <s v="GEORGE C. MILLER, JUNIOR INTERMEDIATE"/>
    <m/>
    <m/>
    <m/>
    <n v="475"/>
    <n v="2015"/>
    <n v="0.67459999999999998"/>
    <n v="475"/>
    <n v="1"/>
  </r>
  <r>
    <x v="53"/>
    <n v="1"/>
    <n v="34953"/>
    <s v="INTERLACHEN ELEMENTARY SCHOOL"/>
    <m/>
    <m/>
    <m/>
    <n v="870"/>
    <n v="2015"/>
    <n v="0.67459999999999998"/>
    <n v="870"/>
    <n v="1"/>
  </r>
  <r>
    <x v="53"/>
    <n v="1"/>
    <n v="34954"/>
    <s v="INTERLACHEN HIGH SCHOOL"/>
    <m/>
    <m/>
    <m/>
    <n v="741"/>
    <n v="2015"/>
    <n v="0.67459999999999998"/>
    <n v="741"/>
    <n v="1"/>
  </r>
  <r>
    <x v="53"/>
    <n v="1"/>
    <n v="34985"/>
    <s v="JAMES A. LONG ELEMENTARY SCHOOL"/>
    <m/>
    <m/>
    <m/>
    <n v="681"/>
    <n v="2015"/>
    <n v="0.67459999999999998"/>
    <n v="681"/>
    <n v="1"/>
  </r>
  <r>
    <x v="53"/>
    <n v="1"/>
    <n v="34984"/>
    <s v="KELLEY SMITH ELEMENTARY SCHOOL"/>
    <m/>
    <m/>
    <m/>
    <n v="626"/>
    <n v="2015"/>
    <n v="0.67459999999999998"/>
    <n v="626"/>
    <n v="1"/>
  </r>
  <r>
    <x v="53"/>
    <n v="1"/>
    <n v="34977"/>
    <s v="MELLON ELEMENTARY SCHOOL"/>
    <m/>
    <m/>
    <m/>
    <n v="380"/>
    <n v="2015"/>
    <n v="0.67459999999999998"/>
    <n v="380"/>
    <n v="1"/>
  </r>
  <r>
    <x v="53"/>
    <n v="1"/>
    <n v="35762"/>
    <s v="MELROSE ELEMENTARY SCHOOL"/>
    <m/>
    <m/>
    <m/>
    <n v="393"/>
    <n v="2015"/>
    <n v="0.67459999999999998"/>
    <n v="393"/>
    <n v="1"/>
  </r>
  <r>
    <x v="53"/>
    <n v="1"/>
    <n v="34892"/>
    <s v="MIDDLETON-BURNEY ELEMENTARY SCHOOL"/>
    <m/>
    <m/>
    <m/>
    <n v="817"/>
    <n v="2015"/>
    <n v="0.67459999999999998"/>
    <n v="817"/>
    <n v="1"/>
  </r>
  <r>
    <x v="53"/>
    <n v="1"/>
    <n v="35740"/>
    <s v="OCHWILLA ELEMENTARY SCHOOL"/>
    <m/>
    <m/>
    <m/>
    <n v="358"/>
    <n v="2015"/>
    <n v="0.67459999999999998"/>
    <n v="358"/>
    <n v="1"/>
  </r>
  <r>
    <x v="53"/>
    <n v="1"/>
    <n v="34978"/>
    <s v="PALATKA HIGH SCHOOL"/>
    <m/>
    <m/>
    <m/>
    <n v="1291"/>
    <n v="2015"/>
    <n v="0.67459999999999998"/>
    <n v="1291"/>
    <n v="1"/>
  </r>
  <r>
    <x v="53"/>
    <n v="1"/>
    <n v="16020104"/>
    <s v="Q.I. ROBERTS JR. - SR. HIGH SCHOOL"/>
    <m/>
    <m/>
    <m/>
    <n v="444"/>
    <n v="2015"/>
    <n v="0.67459999999999998"/>
    <n v="444"/>
    <n v="1"/>
  </r>
  <r>
    <x v="53"/>
    <n v="1"/>
    <n v="34976"/>
    <s v="ROBERT H. JENKINS, JUNIOR MIDDLE"/>
    <m/>
    <m/>
    <m/>
    <n v="577"/>
    <n v="2015"/>
    <n v="0.67459999999999998"/>
    <n v="577"/>
    <n v="1"/>
  </r>
  <r>
    <x v="53"/>
    <n v="1"/>
    <n v="34979"/>
    <s v="WILLIAM D. MOSELEY ELEMENTARY SCHOOL"/>
    <m/>
    <m/>
    <m/>
    <n v="529"/>
    <n v="2015"/>
    <n v="0.67459999999999998"/>
    <n v="529"/>
    <n v="1"/>
  </r>
  <r>
    <x v="54"/>
    <n v="0.44508021990351171"/>
    <n v="211295"/>
    <s v="AVALON MIDDLE SCHOOL"/>
    <m/>
    <m/>
    <n v="395"/>
    <n v="701"/>
    <m/>
    <m/>
    <n v="395"/>
    <n v="0.56348074179743224"/>
  </r>
  <r>
    <x v="54"/>
    <n v="0.44508021990351171"/>
    <n v="35557"/>
    <s v="BAGDAD ELEMENTARY SCHOOL"/>
    <m/>
    <m/>
    <n v="291"/>
    <n v="405"/>
    <m/>
    <m/>
    <n v="291"/>
    <n v="0.71851851851851856"/>
  </r>
  <r>
    <x v="54"/>
    <n v="0.44508021990351171"/>
    <n v="16039292"/>
    <s v="BENNETT C RUSSELL ELEMENTARY SCHOOL"/>
    <m/>
    <m/>
    <n v="513"/>
    <n v="822"/>
    <m/>
    <m/>
    <n v="513"/>
    <n v="0.62408759124087587"/>
  </r>
  <r>
    <x v="54"/>
    <n v="0.44508021990351171"/>
    <n v="17004665"/>
    <s v="BERRYHILL ADMINISTRATIVE COMPLEX"/>
    <m/>
    <m/>
    <n v="24"/>
    <n v="40"/>
    <m/>
    <m/>
    <n v="24"/>
    <n v="0.6"/>
  </r>
  <r>
    <x v="54"/>
    <n v="0.44508021990351171"/>
    <n v="35633"/>
    <s v="BERRYHILL ELEMENTARY SCHOOL"/>
    <m/>
    <m/>
    <n v="444"/>
    <n v="816"/>
    <m/>
    <m/>
    <n v="444"/>
    <n v="0.54411764705882348"/>
  </r>
  <r>
    <x v="54"/>
    <n v="0.44508021990351171"/>
    <n v="16057984"/>
    <s v="CAPSTONE ACADEMY MILTON CHARTER SCHOOL"/>
    <m/>
    <m/>
    <n v="24"/>
    <n v="28"/>
    <m/>
    <m/>
    <n v="24"/>
    <n v="0.8571428571428571"/>
  </r>
  <r>
    <x v="54"/>
    <n v="0.44508021990351171"/>
    <n v="35634"/>
    <s v="CENTRAL SCHOOL"/>
    <m/>
    <m/>
    <n v="349"/>
    <n v="556"/>
    <m/>
    <m/>
    <n v="349"/>
    <n v="0.62769784172661869"/>
  </r>
  <r>
    <x v="54"/>
    <n v="0.44508021990351171"/>
    <n v="35614"/>
    <s v="CHUMUCKLA ELEMENTARY SCHOOL"/>
    <m/>
    <m/>
    <n v="167"/>
    <n v="324"/>
    <m/>
    <m/>
    <n v="167"/>
    <n v="0.51543209876543206"/>
  </r>
  <r>
    <x v="54"/>
    <n v="0.44508021990351171"/>
    <n v="35659"/>
    <s v="EAST MILTON ELEMENTARY SCHOOL"/>
    <m/>
    <m/>
    <n v="638"/>
    <n v="745"/>
    <m/>
    <m/>
    <n v="638"/>
    <n v="0.85637583892617453"/>
  </r>
  <r>
    <x v="54"/>
    <n v="0.44508021990351171"/>
    <n v="35608"/>
    <s v="GULF BREEZE ELEMENTARY SCHOOL"/>
    <m/>
    <m/>
    <n v="145"/>
    <n v="724"/>
    <m/>
    <m/>
    <n v="145"/>
    <n v="0.20027624309392264"/>
  </r>
  <r>
    <x v="54"/>
    <n v="0.44508021990351171"/>
    <n v="35606"/>
    <s v="GULF BREEZE HIGH SCHOOL"/>
    <m/>
    <m/>
    <n v="351"/>
    <n v="1638"/>
    <m/>
    <m/>
    <n v="351"/>
    <n v="0.21428571428571427"/>
  </r>
  <r>
    <x v="54"/>
    <n v="0.44508021990351171"/>
    <n v="35607"/>
    <s v="GULF BREEZE MIDDLE SCHOOL"/>
    <m/>
    <m/>
    <n v="212"/>
    <n v="906"/>
    <m/>
    <m/>
    <n v="212"/>
    <n v="0.23399558498896247"/>
  </r>
  <r>
    <x v="54"/>
    <n v="0.44508021990351171"/>
    <n v="35628"/>
    <s v="HOBBS MIDDLE SCHOOL"/>
    <m/>
    <m/>
    <n v="388"/>
    <n v="680"/>
    <m/>
    <m/>
    <n v="388"/>
    <n v="0.57058823529411762"/>
  </r>
  <r>
    <x v="54"/>
    <n v="0.44508021990351171"/>
    <n v="35616"/>
    <s v="HOLLEY-NAVARRE INTERMEDIATE"/>
    <m/>
    <m/>
    <n v="394"/>
    <n v="857"/>
    <m/>
    <m/>
    <n v="394"/>
    <n v="0.45974329054842472"/>
  </r>
  <r>
    <x v="54"/>
    <n v="0.44508021990351171"/>
    <n v="35617"/>
    <s v="HOLLEY-NAVARRE MIDDLE SCHOOL"/>
    <m/>
    <m/>
    <n v="329"/>
    <n v="869"/>
    <m/>
    <m/>
    <n v="329"/>
    <n v="0.37859608745684697"/>
  </r>
  <r>
    <x v="54"/>
    <n v="0.44508021990351171"/>
    <n v="35618"/>
    <s v="HOLLEY-NAVARRE PRIMARY"/>
    <m/>
    <m/>
    <n v="408"/>
    <n v="879"/>
    <m/>
    <m/>
    <n v="408"/>
    <n v="0.46416382252559729"/>
  </r>
  <r>
    <x v="54"/>
    <n v="0.44508021990351171"/>
    <n v="35612"/>
    <s v="JAY ELEMENTARY SCHOOL"/>
    <m/>
    <m/>
    <n v="267"/>
    <n v="509"/>
    <m/>
    <m/>
    <n v="267"/>
    <n v="0.5245579567779961"/>
  </r>
  <r>
    <x v="54"/>
    <n v="0.44508021990351171"/>
    <n v="35613"/>
    <s v="JAY HIGH SCHOOL"/>
    <m/>
    <m/>
    <n v="148"/>
    <n v="446"/>
    <m/>
    <m/>
    <n v="148"/>
    <n v="0.33183856502242154"/>
  </r>
  <r>
    <x v="54"/>
    <n v="0.44508021990351171"/>
    <n v="228432"/>
    <s v="LEARNING ACADEMY OF SANTA ROSA"/>
    <m/>
    <m/>
    <n v="143"/>
    <n v="180"/>
    <m/>
    <m/>
    <n v="143"/>
    <n v="0.7944444444444444"/>
  </r>
  <r>
    <x v="54"/>
    <n v="0.44508021990351171"/>
    <n v="35631"/>
    <s v="LOCKLIN TECHNICAL CENTER"/>
    <m/>
    <m/>
    <n v="0"/>
    <n v="7"/>
    <m/>
    <m/>
    <n v="0"/>
    <n v="0"/>
  </r>
  <r>
    <x v="54"/>
    <n v="0.44508021990351171"/>
    <n v="35624"/>
    <s v="MARTIN LUTHER KING MIDDLE SCHOOL"/>
    <m/>
    <m/>
    <n v="464"/>
    <n v="614"/>
    <m/>
    <m/>
    <n v="464"/>
    <n v="0.75570032573289903"/>
  </r>
  <r>
    <x v="54"/>
    <n v="0.44508021990351171"/>
    <n v="35625"/>
    <s v="MILTON HIGH SCHOOL"/>
    <m/>
    <m/>
    <n v="967"/>
    <n v="1776"/>
    <m/>
    <m/>
    <n v="967"/>
    <n v="0.54448198198198194"/>
  </r>
  <r>
    <x v="54"/>
    <n v="0.44508021990351171"/>
    <n v="35615"/>
    <s v="NAVARRE HIGH SCHOOL"/>
    <m/>
    <m/>
    <n v="546"/>
    <n v="2075"/>
    <m/>
    <m/>
    <n v="546"/>
    <n v="0.26313253012048193"/>
  </r>
  <r>
    <x v="54"/>
    <n v="0.44508021990351171"/>
    <n v="35605"/>
    <s v="ORIOLE BEACH ELEMENTARY SCHOOL"/>
    <m/>
    <m/>
    <n v="326"/>
    <n v="817"/>
    <m/>
    <m/>
    <n v="326"/>
    <n v="0.39902080783353733"/>
  </r>
  <r>
    <x v="54"/>
    <n v="0.44508021990351171"/>
    <n v="35640"/>
    <s v="PACE HIGH SCHOOL"/>
    <m/>
    <m/>
    <n v="641"/>
    <n v="1922"/>
    <m/>
    <m/>
    <n v="641"/>
    <n v="0.33350676378772115"/>
  </r>
  <r>
    <x v="54"/>
    <n v="0.44508021990351171"/>
    <n v="35638"/>
    <s v="PEA RIDGE ELEMENTARY SCHOOL"/>
    <m/>
    <m/>
    <n v="404"/>
    <n v="782"/>
    <m/>
    <m/>
    <n v="404"/>
    <n v="0.51662404092071612"/>
  </r>
  <r>
    <x v="54"/>
    <n v="0.44508021990351171"/>
    <n v="35639"/>
    <s v="S. S. DIXON INTERMEDIATE SCHOOL"/>
    <m/>
    <m/>
    <n v="303"/>
    <n v="782"/>
    <m/>
    <m/>
    <n v="303"/>
    <n v="0.38746803069053709"/>
  </r>
  <r>
    <x v="54"/>
    <n v="0.44508021990351171"/>
    <n v="35637"/>
    <s v="S. S. DIXON PRIMARY SCHOOL"/>
    <m/>
    <m/>
    <n v="299"/>
    <n v="706"/>
    <m/>
    <m/>
    <n v="299"/>
    <n v="0.42351274787535409"/>
  </r>
  <r>
    <x v="54"/>
    <n v="0.44508021990351171"/>
    <n v="35632"/>
    <s v="SANTA ROSA ADULT SCHOOL"/>
    <m/>
    <m/>
    <n v="93"/>
    <n v="145"/>
    <m/>
    <m/>
    <n v="93"/>
    <n v="0.64137931034482754"/>
  </r>
  <r>
    <x v="54"/>
    <n v="0.44508021990351171"/>
    <n v="16023203"/>
    <s v="SANTA ROSA DISTRICT OFFICE"/>
    <m/>
    <m/>
    <m/>
    <s v="0"/>
    <m/>
    <m/>
    <n v="0"/>
    <n v="0"/>
  </r>
  <r>
    <x v="54"/>
    <n v="0.44508021990351171"/>
    <n v="16082592"/>
    <s v="SANTA ROSA ONLINE VIRTUAL INSTRUCTION PROGRAM"/>
    <m/>
    <m/>
    <n v="2"/>
    <n v="31"/>
    <m/>
    <m/>
    <n v="2"/>
    <n v="6.4516129032258063E-2"/>
  </r>
  <r>
    <x v="54"/>
    <n v="0.44508021990351171"/>
    <n v="16082593"/>
    <s v="SANTA ROSA VIRTUAL FRANCHISE"/>
    <m/>
    <m/>
    <n v="8"/>
    <n v="83"/>
    <m/>
    <m/>
    <n v="8"/>
    <n v="9.6385542168674704E-2"/>
  </r>
  <r>
    <x v="54"/>
    <n v="0.44508021990351171"/>
    <n v="16082672"/>
    <s v="SANTA ROSA VIRTUAL INSTRUCTION COURSE OFFERINGS"/>
    <m/>
    <m/>
    <m/>
    <n v="0"/>
    <m/>
    <m/>
    <n v="0"/>
    <n v="0"/>
  </r>
  <r>
    <x v="54"/>
    <n v="0.44508021990351171"/>
    <n v="35630"/>
    <s v="T. R. JACKSON PREK CENTER"/>
    <m/>
    <m/>
    <n v="190"/>
    <n v="197"/>
    <m/>
    <m/>
    <n v="190"/>
    <n v="0.96446700507614214"/>
  </r>
  <r>
    <x v="54"/>
    <n v="0.44508021990351171"/>
    <n v="205778"/>
    <s v="THOMAS L SIMS MIDDLE SCHOOL"/>
    <m/>
    <m/>
    <n v="289"/>
    <n v="932"/>
    <m/>
    <m/>
    <n v="289"/>
    <n v="0.31008583690987124"/>
  </r>
  <r>
    <x v="54"/>
    <n v="0.44508021990351171"/>
    <n v="35626"/>
    <s v="W. H. RHODES ELEMENTARY SCHOOL"/>
    <m/>
    <m/>
    <n v="699"/>
    <n v="870"/>
    <m/>
    <m/>
    <n v="699"/>
    <n v="0.80344827586206902"/>
  </r>
  <r>
    <x v="54"/>
    <n v="0.44508021990351171"/>
    <n v="211299"/>
    <s v="WEST NAVARRE INTERMEDIATE SCHOOL"/>
    <m/>
    <m/>
    <n v="377"/>
    <n v="983"/>
    <m/>
    <m/>
    <n v="377"/>
    <n v="0.38351983723296035"/>
  </r>
  <r>
    <x v="54"/>
    <n v="0.44508021990351171"/>
    <n v="228430"/>
    <s v="WEST NAVARRE PRIMARY SCHOOL"/>
    <m/>
    <m/>
    <n v="319"/>
    <n v="828"/>
    <m/>
    <m/>
    <n v="319"/>
    <n v="0.38526570048309178"/>
  </r>
  <r>
    <x v="54"/>
    <n v="0.44508021990351171"/>
    <n v="211300"/>
    <s v="WOODLAWN BEACH MIDDLE SCHOOL"/>
    <m/>
    <m/>
    <n v="344"/>
    <n v="1064"/>
    <m/>
    <m/>
    <n v="344"/>
    <n v="0.32330827067669171"/>
  </r>
  <r>
    <x v="54"/>
    <n v="0.44508021990351171"/>
    <n v="16023201"/>
    <s v="Admin Support Complex"/>
    <m/>
    <m/>
    <m/>
    <m/>
    <m/>
    <m/>
    <n v="0"/>
    <n v="0"/>
  </r>
  <r>
    <x v="55"/>
    <n v="0.49315412286327764"/>
    <n v="38484"/>
    <s v="ALTA VISTA ELEMENTARY SCHOOL"/>
    <m/>
    <m/>
    <n v="611"/>
    <n v="680"/>
    <m/>
    <m/>
    <n v="611"/>
    <n v="0.89852941176470591"/>
  </r>
  <r>
    <x v="55"/>
    <n v="0.49315412286327764"/>
    <n v="38471"/>
    <s v="ASHTON ELEMENTARY SCHOOL"/>
    <m/>
    <m/>
    <n v="270"/>
    <n v="922"/>
    <m/>
    <m/>
    <n v="270"/>
    <n v="0.29284164859002171"/>
  </r>
  <r>
    <x v="55"/>
    <n v="0.49315412286327764"/>
    <n v="16053711"/>
    <s v="ATWATER ELEMENTARY"/>
    <m/>
    <m/>
    <n v="448"/>
    <n v="712"/>
    <m/>
    <m/>
    <n v="448"/>
    <n v="0.6292134831460674"/>
  </r>
  <r>
    <x v="55"/>
    <n v="0.49315412286327764"/>
    <n v="38474"/>
    <s v="BAY HAVEN SCHOOL OF BASICS PLUS"/>
    <m/>
    <m/>
    <n v="286"/>
    <n v="602"/>
    <m/>
    <m/>
    <n v="286"/>
    <n v="0.47508305647840532"/>
  </r>
  <r>
    <x v="55"/>
    <n v="0.49315412286327764"/>
    <n v="38472"/>
    <s v="BOOKER HIGH SCHOOL"/>
    <m/>
    <m/>
    <n v="736"/>
    <n v="1168"/>
    <m/>
    <m/>
    <n v="736"/>
    <n v="0.63013698630136983"/>
  </r>
  <r>
    <x v="55"/>
    <n v="0.49315412286327764"/>
    <n v="38473"/>
    <s v="BOOKER MIDDLE SCHOOL"/>
    <m/>
    <m/>
    <n v="580"/>
    <n v="780"/>
    <m/>
    <m/>
    <n v="580"/>
    <n v="0.74358974358974361"/>
  </r>
  <r>
    <x v="55"/>
    <n v="0.49315412286327764"/>
    <n v="38463"/>
    <s v="BRENTWOOD ELEMENTARY SCHOOL"/>
    <m/>
    <m/>
    <n v="489"/>
    <n v="720"/>
    <m/>
    <m/>
    <n v="489"/>
    <n v="0.6791666666666667"/>
  </r>
  <r>
    <x v="55"/>
    <n v="0.49315412286327764"/>
    <n v="38487"/>
    <s v="BROOKSIDE MIDDLE SCHOOL"/>
    <m/>
    <m/>
    <n v="512"/>
    <n v="833"/>
    <m/>
    <m/>
    <n v="512"/>
    <n v="0.61464585834333729"/>
  </r>
  <r>
    <x v="55"/>
    <n v="0.49315412286327764"/>
    <n v="16021604"/>
    <s v="CRANBERRY ELEMENTARY SCHOOL"/>
    <m/>
    <m/>
    <n v="491"/>
    <n v="772"/>
    <m/>
    <m/>
    <n v="491"/>
    <n v="0.63601036269430056"/>
  </r>
  <r>
    <x v="55"/>
    <n v="0.49315412286327764"/>
    <n v="38475"/>
    <s v="EMMA E. BOOKER ELEMENTARY SCHOOL"/>
    <m/>
    <m/>
    <n v="495"/>
    <n v="553"/>
    <m/>
    <m/>
    <n v="495"/>
    <n v="0.89511754068716098"/>
  </r>
  <r>
    <x v="55"/>
    <n v="0.49315412286327764"/>
    <n v="38445"/>
    <s v="ENGLEWOOD ELEMENTARY SCHOOL"/>
    <m/>
    <m/>
    <n v="291"/>
    <n v="541"/>
    <m/>
    <m/>
    <n v="291"/>
    <n v="0.53789279112754163"/>
  </r>
  <r>
    <x v="55"/>
    <n v="0.49315412286327764"/>
    <n v="38459"/>
    <s v="FRUITVILLE ELEMENTARY SCHOOL"/>
    <m/>
    <m/>
    <n v="427"/>
    <n v="748"/>
    <m/>
    <m/>
    <n v="427"/>
    <n v="0.57085561497326198"/>
  </r>
  <r>
    <x v="55"/>
    <n v="0.49315412286327764"/>
    <n v="38514"/>
    <s v="GARDEN ELEMENTARY SCHOOL"/>
    <m/>
    <m/>
    <n v="323"/>
    <n v="597"/>
    <m/>
    <m/>
    <n v="323"/>
    <n v="0.54103852596314905"/>
  </r>
  <r>
    <x v="55"/>
    <n v="0.49315412286327764"/>
    <n v="38513"/>
    <s v="GLENALLEN ELEMENTARY SCHOOL"/>
    <m/>
    <m/>
    <n v="531"/>
    <n v="699"/>
    <m/>
    <m/>
    <n v="531"/>
    <n v="0.75965665236051505"/>
  </r>
  <r>
    <x v="55"/>
    <n v="0.49315412286327764"/>
    <n v="38478"/>
    <s v="GOCIO ELEMENTARY SCHOOL"/>
    <m/>
    <m/>
    <n v="541"/>
    <n v="637"/>
    <m/>
    <m/>
    <n v="541"/>
    <n v="0.84929356357927788"/>
  </r>
  <r>
    <x v="55"/>
    <n v="0.49315412286327764"/>
    <n v="38455"/>
    <s v="GULF GATE ELEMENTARY SCHOOL"/>
    <m/>
    <m/>
    <n v="397"/>
    <n v="723"/>
    <m/>
    <m/>
    <n v="397"/>
    <n v="0.54910096818810517"/>
  </r>
  <r>
    <x v="55"/>
    <n v="0.49315412286327764"/>
    <n v="233830"/>
    <s v="HERON CREEK MIDDLE SCHOOL"/>
    <m/>
    <m/>
    <n v="619"/>
    <n v="872"/>
    <m/>
    <m/>
    <n v="619"/>
    <n v="0.70986238532110091"/>
  </r>
  <r>
    <x v="55"/>
    <n v="0.49315412286327764"/>
    <n v="38491"/>
    <s v="LAKEVIEW ELEMENTARY SCHOOL"/>
    <m/>
    <m/>
    <n v="199"/>
    <n v="588"/>
    <m/>
    <m/>
    <n v="199"/>
    <n v="0.33843537414965985"/>
  </r>
  <r>
    <x v="55"/>
    <n v="0.49315412286327764"/>
    <n v="16044510"/>
    <s v="LAMARQUE ELEMENTARY SCHOOL"/>
    <m/>
    <m/>
    <n v="537"/>
    <n v="808"/>
    <m/>
    <m/>
    <n v="537"/>
    <n v="0.66460396039603964"/>
  </r>
  <r>
    <x v="55"/>
    <n v="0.49315412286327764"/>
    <n v="38506"/>
    <s v="LAUREL NOKOMIS SCHOOL"/>
    <m/>
    <m/>
    <n v="453"/>
    <n v="1075"/>
    <m/>
    <m/>
    <n v="453"/>
    <n v="0.4213953488372093"/>
  </r>
  <r>
    <x v="55"/>
    <n v="0.49315412286327764"/>
    <n v="38460"/>
    <s v="MCINTOSH MIDDLE SCHOOL"/>
    <m/>
    <m/>
    <n v="386"/>
    <n v="677"/>
    <m/>
    <m/>
    <n v="386"/>
    <n v="0.57016248153618909"/>
  </r>
  <r>
    <x v="55"/>
    <n v="0.49315412286327764"/>
    <n v="210248"/>
    <s v="NORTH PORT HIGH SCHOOL"/>
    <m/>
    <m/>
    <n v="1360"/>
    <n v="2354"/>
    <m/>
    <m/>
    <n v="1360"/>
    <n v="0.57774001699235344"/>
  </r>
  <r>
    <x v="55"/>
    <n v="0.49315412286327764"/>
    <n v="38492"/>
    <s v="OAK PARK SCHOOL"/>
    <m/>
    <m/>
    <n v="170"/>
    <n v="301"/>
    <m/>
    <m/>
    <n v="170"/>
    <n v="0.56478405315614622"/>
  </r>
  <r>
    <x v="55"/>
    <n v="0.49315412286327764"/>
    <n v="38452"/>
    <s v="PHILLIPPI SHORES ELEMENTARY SCHOOL"/>
    <m/>
    <m/>
    <n v="367"/>
    <n v="810"/>
    <m/>
    <m/>
    <n v="367"/>
    <n v="0.45308641975308644"/>
  </r>
  <r>
    <x v="55"/>
    <n v="0.49315412286327764"/>
    <n v="38449"/>
    <s v="PINE VIEW SCHOOL"/>
    <m/>
    <m/>
    <n v="259"/>
    <n v="2174"/>
    <m/>
    <m/>
    <n v="259"/>
    <n v="0.11913523459061638"/>
  </r>
  <r>
    <x v="55"/>
    <n v="0.49315412286327764"/>
    <n v="38454"/>
    <s v="RIVERVIEW HIGH SCHOOL"/>
    <m/>
    <m/>
    <n v="811"/>
    <n v="2490"/>
    <m/>
    <m/>
    <n v="811"/>
    <n v="0.32570281124497991"/>
  </r>
  <r>
    <x v="55"/>
    <n v="0.49315412286327764"/>
    <n v="38482"/>
    <s v="SARASOTA HIGH SCHOOL"/>
    <m/>
    <m/>
    <n v="906"/>
    <n v="2085"/>
    <m/>
    <m/>
    <n v="906"/>
    <n v="0.43453237410071943"/>
  </r>
  <r>
    <x v="55"/>
    <n v="0.49315412286327764"/>
    <n v="38470"/>
    <s v="SARASOTA MIDDLE SCHOOL"/>
    <m/>
    <m/>
    <n v="328"/>
    <n v="1267"/>
    <m/>
    <m/>
    <n v="328"/>
    <n v="0.25887924230465664"/>
  </r>
  <r>
    <x v="55"/>
    <n v="0.49315412286327764"/>
    <n v="38486"/>
    <s v="SOUTHSIDE ELEMENTARY SCHOOL"/>
    <m/>
    <m/>
    <n v="210"/>
    <n v="763"/>
    <m/>
    <m/>
    <n v="210"/>
    <n v="0.27522935779816515"/>
  </r>
  <r>
    <x v="55"/>
    <n v="0.49315412286327764"/>
    <n v="16053710"/>
    <s v="SUNCOAST POLYTECHNICAL HIGH SCHOOL"/>
    <m/>
    <m/>
    <n v="192"/>
    <n v="570"/>
    <m/>
    <m/>
    <n v="192"/>
    <n v="0.33684210526315789"/>
  </r>
  <r>
    <x v="55"/>
    <n v="0.49315412286327764"/>
    <n v="16025582"/>
    <s v="TATUM RIDGE ELEMENTARY SCHOOL"/>
    <m/>
    <m/>
    <n v="153"/>
    <n v="657"/>
    <m/>
    <m/>
    <n v="153"/>
    <n v="0.23287671232876711"/>
  </r>
  <r>
    <x v="55"/>
    <n v="0.49315412286327764"/>
    <n v="38517"/>
    <s v="TAYLOR RANCH ELEMENTARY SCHOOL"/>
    <m/>
    <m/>
    <n v="246"/>
    <n v="642"/>
    <m/>
    <m/>
    <n v="246"/>
    <n v="0.38317757009345793"/>
  </r>
  <r>
    <x v="55"/>
    <n v="0.49315412286327764"/>
    <n v="38512"/>
    <s v="TOLEDO BLADE ELEMENTARY SCHOOL"/>
    <m/>
    <m/>
    <n v="400"/>
    <n v="722"/>
    <m/>
    <m/>
    <n v="400"/>
    <n v="0.554016620498615"/>
  </r>
  <r>
    <x v="55"/>
    <n v="0.49315412286327764"/>
    <n v="173069"/>
    <s v="TRIAD"/>
    <m/>
    <m/>
    <n v="63"/>
    <n v="86"/>
    <m/>
    <m/>
    <n v="63"/>
    <n v="0.73255813953488369"/>
  </r>
  <r>
    <x v="55"/>
    <n v="0.49315412286327764"/>
    <n v="38480"/>
    <s v="TUTTLE ELEMENTARY SCHOOL"/>
    <m/>
    <m/>
    <n v="609"/>
    <n v="695"/>
    <m/>
    <m/>
    <n v="609"/>
    <n v="0.87625899280575537"/>
  </r>
  <r>
    <x v="55"/>
    <n v="0.49315412286327764"/>
    <n v="38509"/>
    <s v="VENICE ELEMENTARY SCHOOL"/>
    <m/>
    <m/>
    <n v="227"/>
    <n v="585"/>
    <m/>
    <m/>
    <n v="227"/>
    <n v="0.38803418803418804"/>
  </r>
  <r>
    <x v="55"/>
    <n v="0.49315412286327764"/>
    <n v="38515"/>
    <s v="VENICE MIDDLE SCHOOL"/>
    <m/>
    <m/>
    <n v="256"/>
    <n v="554"/>
    <m/>
    <m/>
    <n v="256"/>
    <n v="0.46209386281588449"/>
  </r>
  <r>
    <x v="55"/>
    <n v="0.49315412286327764"/>
    <n v="38510"/>
    <s v="VENICE SENIOR HIGH SCHOOL"/>
    <m/>
    <m/>
    <n v="703"/>
    <n v="2106"/>
    <m/>
    <m/>
    <n v="703"/>
    <n v="0.33380816714150047"/>
  </r>
  <r>
    <x v="55"/>
    <n v="0.49315412286327764"/>
    <n v="38456"/>
    <s v="WILKINSON ELEMENTARY SCHOOL"/>
    <m/>
    <m/>
    <n v="320"/>
    <n v="434"/>
    <m/>
    <m/>
    <n v="320"/>
    <n v="0.73732718894009219"/>
  </r>
  <r>
    <x v="55"/>
    <n v="0.49315412286327764"/>
    <n v="16053709"/>
    <s v="WOODLAND MIDDLE SCHOOL"/>
    <m/>
    <m/>
    <n v="483"/>
    <n v="859"/>
    <m/>
    <m/>
    <n v="483"/>
    <n v="0.56228172293364376"/>
  </r>
  <r>
    <x v="56"/>
    <n v="0.48503479391297699"/>
    <n v="35787"/>
    <s v="ALTAMONTE ELEMENTARY SCHOOL"/>
    <m/>
    <m/>
    <n v="591"/>
    <n v="797"/>
    <m/>
    <m/>
    <n v="591"/>
    <n v="0.74153074027603516"/>
  </r>
  <r>
    <x v="56"/>
    <n v="0.48503479391297699"/>
    <n v="35790"/>
    <s v="BEAR LAKE ELEMENTARY SCHOOL"/>
    <m/>
    <m/>
    <n v="601"/>
    <n v="1101"/>
    <m/>
    <m/>
    <n v="601"/>
    <n v="0.54586739327883738"/>
  </r>
  <r>
    <x v="56"/>
    <n v="0.48503479391297699"/>
    <n v="226172"/>
    <s v="BENTLEY ELEMENTARY SCHOOL"/>
    <m/>
    <m/>
    <n v="570"/>
    <n v="939"/>
    <m/>
    <m/>
    <n v="570"/>
    <n v="0.60702875399361023"/>
  </r>
  <r>
    <x v="56"/>
    <n v="0.48503479391297699"/>
    <n v="16083171"/>
    <s v="BOYS TOWN"/>
    <m/>
    <m/>
    <m/>
    <s v="*"/>
    <m/>
    <m/>
    <n v="0"/>
    <n v="0"/>
  </r>
  <r>
    <x v="56"/>
    <n v="0.48503479391297699"/>
    <n v="35910"/>
    <s v="CARILLON ELEMENTARY SCHOOL"/>
    <m/>
    <m/>
    <n v="289"/>
    <n v="947"/>
    <m/>
    <m/>
    <n v="289"/>
    <n v="0.30517423442449843"/>
  </r>
  <r>
    <x v="56"/>
    <n v="0.48503479391297699"/>
    <n v="35799"/>
    <s v="CASSELBERRY ELEMENTARY SCHOOL"/>
    <m/>
    <m/>
    <n v="507"/>
    <n v="719"/>
    <m/>
    <m/>
    <n v="507"/>
    <n v="0.7051460361613352"/>
  </r>
  <r>
    <x v="56"/>
    <n v="0.48503479391297699"/>
    <n v="226140"/>
    <s v="CHILES MIDDLE SCHOOL"/>
    <m/>
    <m/>
    <n v="306"/>
    <n v="1264"/>
    <m/>
    <m/>
    <n v="306"/>
    <n v="0.24208860759493672"/>
  </r>
  <r>
    <x v="56"/>
    <n v="0.48503479391297699"/>
    <n v="16083325"/>
    <s v="CONTRACTED SERVICES"/>
    <m/>
    <m/>
    <m/>
    <s v="*"/>
    <m/>
    <m/>
    <n v="0"/>
    <n v="0"/>
  </r>
  <r>
    <x v="56"/>
    <n v="0.48503479391297699"/>
    <n v="35921"/>
    <s v="CROOMS ACADEMY OF INFORMATION TECHNOLOGY"/>
    <m/>
    <m/>
    <n v="270"/>
    <n v="628"/>
    <m/>
    <m/>
    <n v="270"/>
    <n v="0.42993630573248409"/>
  </r>
  <r>
    <x v="56"/>
    <n v="0.48503479391297699"/>
    <n v="16036213"/>
    <s v="CRYSTAL LAKE ELEMENTARY SCHOOL"/>
    <m/>
    <m/>
    <n v="327"/>
    <n v="749"/>
    <m/>
    <m/>
    <n v="327"/>
    <n v="0.43658210947930576"/>
  </r>
  <r>
    <x v="56"/>
    <n v="0.48503479391297699"/>
    <n v="35977"/>
    <s v="EASTBROOK ELEMENTARY SCHOOL"/>
    <m/>
    <m/>
    <n v="458"/>
    <n v="786"/>
    <m/>
    <m/>
    <n v="458"/>
    <n v="0.58269720101781175"/>
  </r>
  <r>
    <x v="56"/>
    <n v="0.48503479391297699"/>
    <n v="35782"/>
    <s v="ENDEAVOR SCHOOL"/>
    <m/>
    <m/>
    <n v="53"/>
    <n v="69"/>
    <m/>
    <m/>
    <n v="53"/>
    <n v="0.76811594202898548"/>
  </r>
  <r>
    <x v="56"/>
    <n v="0.48503479391297699"/>
    <n v="35860"/>
    <s v="ENGLISH ESTATES ELEMENTARY SCHOOL"/>
    <m/>
    <m/>
    <n v="588"/>
    <n v="795"/>
    <m/>
    <m/>
    <n v="588"/>
    <n v="0.73962264150943391"/>
  </r>
  <r>
    <x v="56"/>
    <n v="0.48503479391297699"/>
    <n v="226134"/>
    <s v="EVANS ELEMENTARY SCHOOL"/>
    <m/>
    <m/>
    <n v="338"/>
    <n v="918"/>
    <m/>
    <m/>
    <n v="338"/>
    <n v="0.36819172113289761"/>
  </r>
  <r>
    <x v="56"/>
    <n v="0.48503479391297699"/>
    <n v="35821"/>
    <s v="FOREST CITY ELEMENTARY SCHOOL"/>
    <m/>
    <m/>
    <n v="601"/>
    <n v="868"/>
    <m/>
    <m/>
    <n v="601"/>
    <n v="0.69239631336405527"/>
  </r>
  <r>
    <x v="56"/>
    <n v="0.48503479391297699"/>
    <n v="35861"/>
    <s v="GENEVA ELEMENTARY SCHOOL"/>
    <m/>
    <m/>
    <n v="280"/>
    <n v="574"/>
    <m/>
    <m/>
    <n v="280"/>
    <n v="0.48780487804878048"/>
  </r>
  <r>
    <x v="56"/>
    <n v="0.48503479391297699"/>
    <n v="35925"/>
    <s v="GOLDSBORO ELEMENTARY MAGNET"/>
    <m/>
    <m/>
    <n v="540"/>
    <n v="855"/>
    <m/>
    <m/>
    <n v="540"/>
    <n v="0.63157894736842102"/>
  </r>
  <r>
    <x v="56"/>
    <n v="0.48503479391297699"/>
    <n v="35872"/>
    <s v="GREENWOOD LAKES MIDDLE SCHOOL"/>
    <m/>
    <m/>
    <n v="601"/>
    <n v="983"/>
    <m/>
    <m/>
    <n v="601"/>
    <n v="0.61139369277721256"/>
  </r>
  <r>
    <x v="56"/>
    <n v="0.48503479391297699"/>
    <n v="16027172"/>
    <s v="HAGERTY HIGH SCHOOL"/>
    <m/>
    <m/>
    <n v="476"/>
    <n v="2238"/>
    <m/>
    <m/>
    <n v="476"/>
    <n v="0.21268990169794461"/>
  </r>
  <r>
    <x v="56"/>
    <n v="0.48503479391297699"/>
    <n v="35922"/>
    <s v="HAMILTON ELEMENTARY SCHOOL"/>
    <m/>
    <m/>
    <n v="582"/>
    <n v="632"/>
    <m/>
    <m/>
    <n v="582"/>
    <n v="0.92088607594936711"/>
  </r>
  <r>
    <x v="56"/>
    <n v="0.48503479391297699"/>
    <n v="35874"/>
    <s v="HEATHROW ELEMENTARY SCHOOL"/>
    <m/>
    <m/>
    <n v="124"/>
    <n v="824"/>
    <m/>
    <m/>
    <n v="124"/>
    <n v="0.15048543689320387"/>
  </r>
  <r>
    <x v="56"/>
    <n v="0.48503479391297699"/>
    <n v="35803"/>
    <s v="HIGHLANDS ELEMENTARY SCHOOL"/>
    <m/>
    <m/>
    <n v="423"/>
    <n v="656"/>
    <m/>
    <m/>
    <n v="423"/>
    <n v="0.64481707317073167"/>
  </r>
  <r>
    <x v="56"/>
    <n v="0.48503479391297699"/>
    <n v="35924"/>
    <s v="HOPPER CENTER"/>
    <m/>
    <m/>
    <n v="19"/>
    <n v="22"/>
    <m/>
    <m/>
    <n v="19"/>
    <n v="0.86363636363636365"/>
  </r>
  <r>
    <x v="56"/>
    <n v="0.48503479391297699"/>
    <n v="35927"/>
    <s v="HOSPITAL HOMEBOUND PROGRAM"/>
    <m/>
    <m/>
    <n v="8"/>
    <n v="31"/>
    <m/>
    <m/>
    <n v="8"/>
    <n v="0.25806451612903225"/>
  </r>
  <r>
    <x v="56"/>
    <n v="0.48503479391297699"/>
    <n v="35929"/>
    <s v="IDYLLWILDE ELEMENTARY SCHOOL"/>
    <m/>
    <m/>
    <n v="640"/>
    <n v="789"/>
    <m/>
    <m/>
    <n v="640"/>
    <n v="0.81115335868187577"/>
  </r>
  <r>
    <x v="56"/>
    <n v="0.48503479391297699"/>
    <n v="35806"/>
    <s v="INDIAN TRAILS MIDDLE SCHOOL"/>
    <m/>
    <m/>
    <n v="465"/>
    <n v="1141"/>
    <m/>
    <m/>
    <n v="465"/>
    <n v="0.40753724802804558"/>
  </r>
  <r>
    <x v="56"/>
    <n v="0.48503479391297699"/>
    <n v="35911"/>
    <s v="JACKSON HEIGHTS MIDDLE SCHOOL"/>
    <m/>
    <m/>
    <n v="398"/>
    <n v="1239"/>
    <m/>
    <m/>
    <n v="398"/>
    <n v="0.32122679580306701"/>
  </r>
  <r>
    <x v="56"/>
    <n v="0.48503479391297699"/>
    <n v="213481"/>
    <s v="JOHN POLK ALTERNATIVE SCHOOL"/>
    <m/>
    <m/>
    <m/>
    <s v="*"/>
    <m/>
    <m/>
    <n v="0"/>
    <n v="0"/>
  </r>
  <r>
    <x v="56"/>
    <n v="0.48503479391297699"/>
    <n v="16058909"/>
    <s v="JOURNEYS ACADEMY"/>
    <m/>
    <m/>
    <n v="107"/>
    <n v="130"/>
    <m/>
    <m/>
    <n v="107"/>
    <n v="0.82307692307692304"/>
  </r>
  <r>
    <x v="56"/>
    <n v="0.48503479391297699"/>
    <n v="35807"/>
    <s v="KEETH ELEMENTARY SCHOOL"/>
    <m/>
    <m/>
    <n v="190"/>
    <n v="696"/>
    <m/>
    <m/>
    <n v="190"/>
    <n v="0.27298850574712646"/>
  </r>
  <r>
    <x v="56"/>
    <n v="0.48503479391297699"/>
    <n v="35822"/>
    <s v="LAKE BRANTLEY HIGH SCHOOL"/>
    <m/>
    <m/>
    <n v="1188"/>
    <n v="2803"/>
    <m/>
    <m/>
    <n v="1188"/>
    <n v="0.42383160899036748"/>
  </r>
  <r>
    <x v="56"/>
    <n v="0.48503479391297699"/>
    <n v="35970"/>
    <s v="LAKE HOWELL HIGH SCHOOL"/>
    <m/>
    <m/>
    <n v="1095"/>
    <n v="2236"/>
    <m/>
    <m/>
    <n v="1095"/>
    <n v="0.48971377459749554"/>
  </r>
  <r>
    <x v="56"/>
    <n v="0.48503479391297699"/>
    <n v="35870"/>
    <s v="LAKE MARY ELEMENTARY SCHOOL"/>
    <m/>
    <m/>
    <n v="540"/>
    <n v="980"/>
    <m/>
    <m/>
    <n v="540"/>
    <n v="0.55102040816326525"/>
  </r>
  <r>
    <x v="56"/>
    <n v="0.48503479391297699"/>
    <n v="35871"/>
    <s v="LAKE MARY HIGH SCHOOL"/>
    <m/>
    <m/>
    <n v="1145"/>
    <n v="2874"/>
    <m/>
    <m/>
    <n v="1145"/>
    <n v="0.39839944328462074"/>
  </r>
  <r>
    <x v="56"/>
    <n v="0.48503479391297699"/>
    <n v="35784"/>
    <s v="LAKE ORIENTA ELEMENTARY SCHOOL"/>
    <m/>
    <m/>
    <n v="568"/>
    <n v="737"/>
    <m/>
    <m/>
    <n v="568"/>
    <n v="0.77069199457259163"/>
  </r>
  <r>
    <x v="56"/>
    <n v="0.48503479391297699"/>
    <n v="35914"/>
    <s v="LAWTON ELEMENTARY SCHOOL"/>
    <m/>
    <m/>
    <n v="221"/>
    <n v="810"/>
    <m/>
    <m/>
    <n v="221"/>
    <n v="0.27283950617283953"/>
  </r>
  <r>
    <x v="56"/>
    <n v="0.48503479391297699"/>
    <n v="16023494"/>
    <s v="LAYER ELEMENTARY SCHOOL"/>
    <m/>
    <m/>
    <n v="423"/>
    <n v="665"/>
    <m/>
    <m/>
    <n v="423"/>
    <n v="0.63609022556390982"/>
  </r>
  <r>
    <x v="56"/>
    <n v="0.48503479391297699"/>
    <n v="35875"/>
    <s v="LYMAN HIGH SCHOOL"/>
    <m/>
    <m/>
    <n v="1303"/>
    <n v="2651"/>
    <m/>
    <m/>
    <n v="1303"/>
    <n v="0.49151263674085249"/>
  </r>
  <r>
    <x v="56"/>
    <n v="0.48503479391297699"/>
    <n v="16036202"/>
    <s v="MARKHAM WOODS MIDDLE SCHOOL"/>
    <m/>
    <m/>
    <n v="472"/>
    <n v="1175"/>
    <m/>
    <m/>
    <n v="472"/>
    <n v="0.40170212765957447"/>
  </r>
  <r>
    <x v="56"/>
    <n v="0.48503479391297699"/>
    <n v="35931"/>
    <s v="MIDWAY ELEMENTARY SCHOOL"/>
    <m/>
    <m/>
    <n v="707"/>
    <n v="871"/>
    <m/>
    <m/>
    <n v="707"/>
    <n v="0.81171067738231917"/>
  </r>
  <r>
    <x v="56"/>
    <n v="0.48503479391297699"/>
    <n v="17002425"/>
    <s v="MIGRANT NON-ENROLLED STUDENTS"/>
    <m/>
    <m/>
    <m/>
    <n v="0"/>
    <m/>
    <m/>
    <n v="0"/>
    <n v="0"/>
  </r>
  <r>
    <x v="56"/>
    <n v="0.48503479391297699"/>
    <n v="35936"/>
    <s v="MILLENNIUM MIDDLE SCHOOL"/>
    <m/>
    <m/>
    <n v="998"/>
    <n v="1560"/>
    <m/>
    <m/>
    <n v="998"/>
    <n v="0.63974358974358969"/>
  </r>
  <r>
    <x v="56"/>
    <n v="0.48503479391297699"/>
    <n v="35880"/>
    <s v="MILWEE MIDDLE SCHOOL"/>
    <m/>
    <m/>
    <n v="824"/>
    <n v="1393"/>
    <m/>
    <m/>
    <n v="824"/>
    <n v="0.5915290739411343"/>
  </r>
  <r>
    <x v="56"/>
    <n v="0.48503479391297699"/>
    <n v="35907"/>
    <s v="OVIEDO HIGH SCHOOL"/>
    <m/>
    <m/>
    <n v="812"/>
    <n v="2454"/>
    <m/>
    <m/>
    <n v="812"/>
    <n v="0.33088834555827223"/>
  </r>
  <r>
    <x v="56"/>
    <n v="0.48503479391297699"/>
    <n v="35915"/>
    <s v="PARTIN ELEMENTARY SCHOOL"/>
    <m/>
    <m/>
    <n v="176"/>
    <n v="750"/>
    <m/>
    <m/>
    <n v="176"/>
    <n v="0.23466666666666666"/>
  </r>
  <r>
    <x v="56"/>
    <n v="0.48503479391297699"/>
    <n v="35935"/>
    <s v="PINE CREST ELEMENTARY SCHOOL"/>
    <m/>
    <m/>
    <n v="733"/>
    <n v="812"/>
    <m/>
    <m/>
    <n v="733"/>
    <n v="0.90270935960591137"/>
  </r>
  <r>
    <x v="56"/>
    <n v="0.48503479391297699"/>
    <n v="35808"/>
    <s v="RAINBOW ELEMENTARY SCHOOL"/>
    <m/>
    <m/>
    <n v="289"/>
    <n v="776"/>
    <m/>
    <m/>
    <n v="289"/>
    <n v="0.37242268041237114"/>
  </r>
  <r>
    <x v="56"/>
    <n v="0.48503479391297699"/>
    <n v="35802"/>
    <s v="RED BUG ELEMENTARY SCHOOL"/>
    <m/>
    <m/>
    <n v="373"/>
    <n v="845"/>
    <m/>
    <m/>
    <n v="373"/>
    <n v="0.44142011834319528"/>
  </r>
  <r>
    <x v="56"/>
    <n v="0.48503479391297699"/>
    <n v="35876"/>
    <s v="ROCK LAKE MIDDLE SCHOOL"/>
    <m/>
    <m/>
    <n v="315"/>
    <n v="891"/>
    <m/>
    <m/>
    <n v="315"/>
    <n v="0.35353535353535354"/>
  </r>
  <r>
    <x v="56"/>
    <n v="0.48503479391297699"/>
    <n v="35944"/>
    <s v="SABAL POINT ELEMENTARY SCHOOL"/>
    <m/>
    <m/>
    <n v="294"/>
    <n v="864"/>
    <m/>
    <m/>
    <n v="294"/>
    <n v="0.34027777777777779"/>
  </r>
  <r>
    <x v="56"/>
    <n v="0.48503479391297699"/>
    <n v="35926"/>
    <s v="SANFORD MIDDLE SCHOOL"/>
    <m/>
    <m/>
    <n v="740"/>
    <n v="1679"/>
    <m/>
    <m/>
    <n v="740"/>
    <n v="0.44073853484216796"/>
  </r>
  <r>
    <x v="56"/>
    <n v="0.48503479391297699"/>
    <n v="228435"/>
    <s v="SCPS CONSEQUENCE UNIT"/>
    <m/>
    <m/>
    <n v="22"/>
    <n v="33"/>
    <m/>
    <m/>
    <n v="22"/>
    <n v="0.66666666666666663"/>
  </r>
  <r>
    <x v="56"/>
    <n v="0.48503479391297699"/>
    <n v="16083165"/>
    <s v="SCPS EARLY LEARNING COALITION"/>
    <m/>
    <m/>
    <n v="64"/>
    <n v="81"/>
    <m/>
    <m/>
    <n v="64"/>
    <n v="0.79012345679012341"/>
  </r>
  <r>
    <x v="56"/>
    <n v="0.48503479391297699"/>
    <n v="16083332"/>
    <s v="SEMINOLE ACADEMY OF DIGITAL LEARNING"/>
    <m/>
    <m/>
    <n v="2"/>
    <n v="31"/>
    <m/>
    <m/>
    <n v="2"/>
    <n v="6.4516129032258063E-2"/>
  </r>
  <r>
    <x v="56"/>
    <n v="0.48503479391297699"/>
    <n v="35937"/>
    <s v="SEMINOLE COUNTY DETENTION CENTER"/>
    <m/>
    <m/>
    <n v="18"/>
    <n v="27"/>
    <m/>
    <m/>
    <n v="18"/>
    <n v="0.66666666666666663"/>
  </r>
  <r>
    <x v="56"/>
    <n v="0.48503479391297699"/>
    <n v="16083197"/>
    <s v="SEMINOLE COUNTY VIRTUAL FRANCHISE (SCVS)"/>
    <m/>
    <m/>
    <n v="14"/>
    <n v="121"/>
    <m/>
    <m/>
    <n v="14"/>
    <n v="0.11570247933884298"/>
  </r>
  <r>
    <x v="56"/>
    <n v="0.48503479391297699"/>
    <n v="16030703"/>
    <s v="SEMINOLE DISTRICT OFFICE"/>
    <m/>
    <m/>
    <m/>
    <s v="0"/>
    <m/>
    <m/>
    <n v="0"/>
    <n v="0"/>
  </r>
  <r>
    <x v="56"/>
    <n v="0.48503479391297699"/>
    <n v="35933"/>
    <s v="SEMINOLE HIGH SCHOOL"/>
    <m/>
    <m/>
    <n v="1527"/>
    <n v="3189"/>
    <m/>
    <m/>
    <n v="1527"/>
    <n v="0.47883349012229537"/>
  </r>
  <r>
    <x v="56"/>
    <n v="0.48503479391297699"/>
    <n v="16083198"/>
    <s v="SEMINOLE VIRTUAL INSTRUCTION (COURSE OFFERINGS)"/>
    <m/>
    <m/>
    <m/>
    <n v="0"/>
    <m/>
    <m/>
    <n v="0"/>
    <n v="0"/>
  </r>
  <r>
    <x v="56"/>
    <n v="0.48503479391297699"/>
    <n v="16083199"/>
    <s v="SEMINOLE VIRTUAL INSTRUCTION PROGRAM (SVIP)"/>
    <m/>
    <m/>
    <m/>
    <n v="0"/>
    <m/>
    <m/>
    <n v="0"/>
    <n v="0"/>
  </r>
  <r>
    <x v="56"/>
    <n v="0.48503479391297699"/>
    <n v="35798"/>
    <s v="SOUTH SEMINOLE MIDDLE SCHOOL"/>
    <m/>
    <m/>
    <n v="740"/>
    <n v="1139"/>
    <m/>
    <m/>
    <n v="740"/>
    <n v="0.6496927129060579"/>
  </r>
  <r>
    <x v="56"/>
    <n v="0.48503479391297699"/>
    <n v="35819"/>
    <s v="SPRING LAKE ELEMENTARY SCHOOL"/>
    <m/>
    <m/>
    <n v="504"/>
    <n v="655"/>
    <m/>
    <m/>
    <n v="504"/>
    <n v="0.76946564885496183"/>
  </r>
  <r>
    <x v="56"/>
    <n v="0.48503479391297699"/>
    <n v="35912"/>
    <s v="STENSTROM ELEMENTARY SCHOOL"/>
    <m/>
    <m/>
    <n v="255"/>
    <n v="591"/>
    <m/>
    <m/>
    <n v="255"/>
    <n v="0.43147208121827413"/>
  </r>
  <r>
    <x v="56"/>
    <n v="0.48503479391297699"/>
    <n v="35801"/>
    <s v="STERLING PARK ELEMENTARY SCHOOL"/>
    <m/>
    <m/>
    <n v="430"/>
    <n v="804"/>
    <m/>
    <m/>
    <n v="430"/>
    <n v="0.53482587064676612"/>
  </r>
  <r>
    <x v="56"/>
    <n v="0.48503479391297699"/>
    <n v="213341"/>
    <s v="TAPP CHILDCARE CENTER"/>
    <m/>
    <m/>
    <m/>
    <s v="*"/>
    <m/>
    <m/>
    <n v="0"/>
    <n v="0"/>
  </r>
  <r>
    <x v="56"/>
    <n v="0.48503479391297699"/>
    <n v="35820"/>
    <s v="TEAGUE MIDDLE SCHOOL"/>
    <m/>
    <m/>
    <n v="710"/>
    <n v="1296"/>
    <m/>
    <m/>
    <n v="710"/>
    <n v="0.5478395061728395"/>
  </r>
  <r>
    <x v="56"/>
    <n v="0.48503479391297699"/>
    <n v="35909"/>
    <s v="TUSKAWILLA MIDDLE SCHOOL"/>
    <m/>
    <m/>
    <n v="551"/>
    <n v="1074"/>
    <m/>
    <m/>
    <n v="551"/>
    <n v="0.51303538175046559"/>
  </r>
  <r>
    <x v="56"/>
    <n v="0.48503479391297699"/>
    <n v="16023495"/>
    <s v="WALKER ELEMENTARY SCHOOL"/>
    <m/>
    <m/>
    <n v="160"/>
    <n v="682"/>
    <m/>
    <m/>
    <n v="160"/>
    <n v="0.23460410557184752"/>
  </r>
  <r>
    <x v="56"/>
    <n v="0.48503479391297699"/>
    <n v="35946"/>
    <s v="WEKIVA ELEMENTARY SCHOOL"/>
    <m/>
    <m/>
    <n v="276"/>
    <n v="819"/>
    <m/>
    <m/>
    <n v="276"/>
    <n v="0.33699633699633702"/>
  </r>
  <r>
    <x v="56"/>
    <n v="0.48503479391297699"/>
    <n v="35919"/>
    <s v="WICKLOW ELEMENTARY SCHOOL"/>
    <m/>
    <m/>
    <n v="599"/>
    <n v="720"/>
    <m/>
    <m/>
    <n v="599"/>
    <n v="0.83194444444444449"/>
  </r>
  <r>
    <x v="56"/>
    <n v="0.48503479391297699"/>
    <n v="35930"/>
    <s v="WILSON ELEMENTARY SCHOOL"/>
    <m/>
    <m/>
    <n v="294"/>
    <n v="977"/>
    <m/>
    <m/>
    <n v="294"/>
    <n v="0.30092118730808598"/>
  </r>
  <r>
    <x v="56"/>
    <n v="0.48503479391297699"/>
    <n v="35804"/>
    <s v="WINTER SPRINGS ELEMENTARY SCHOOL"/>
    <m/>
    <m/>
    <n v="510"/>
    <n v="679"/>
    <m/>
    <m/>
    <n v="510"/>
    <n v="0.75110456553755522"/>
  </r>
  <r>
    <x v="56"/>
    <n v="0.48503479391297699"/>
    <n v="35805"/>
    <s v="WINTER SPRINGS HIGH SCHOOL"/>
    <m/>
    <m/>
    <n v="1186"/>
    <n v="2388"/>
    <m/>
    <m/>
    <n v="1186"/>
    <n v="0.49664991624790622"/>
  </r>
  <r>
    <x v="56"/>
    <n v="0.48503479391297699"/>
    <n v="35881"/>
    <s v="WOODLANDS ELEMENTARY SCHOOL"/>
    <m/>
    <m/>
    <n v="284"/>
    <n v="863"/>
    <m/>
    <m/>
    <n v="284"/>
    <n v="0.32908458864426421"/>
  </r>
  <r>
    <x v="56"/>
    <n v="0.48503479391297699"/>
    <n v="16030700"/>
    <s v="FACILITIES SERVICES DEPARTMENT"/>
    <m/>
    <m/>
    <m/>
    <m/>
    <m/>
    <m/>
    <n v="0"/>
    <n v="0"/>
  </r>
  <r>
    <x v="56"/>
    <n v="0.48503479391297699"/>
    <n v="16030701"/>
    <s v="TRANSPORTATION DEPARTMENT"/>
    <m/>
    <m/>
    <m/>
    <m/>
    <m/>
    <m/>
    <n v="0"/>
    <n v="0"/>
  </r>
  <r>
    <x v="56"/>
    <n v="0.48503479391297699"/>
    <n v="16030704"/>
    <s v="EDUCATIONAL SUPPORT CENTER ANNEX"/>
    <m/>
    <m/>
    <m/>
    <m/>
    <m/>
    <m/>
    <n v="0"/>
    <n v="0"/>
  </r>
  <r>
    <x v="56"/>
    <n v="0.48503479391297699"/>
    <n v="16036217"/>
    <s v="RINEHART ANNEX"/>
    <m/>
    <m/>
    <m/>
    <m/>
    <m/>
    <m/>
    <n v="0"/>
    <n v="0"/>
  </r>
  <r>
    <x v="56"/>
    <n v="0.48503479391297699"/>
    <n v="16078770"/>
    <s v="ENVIRONMENTAL STUDIES CENTER"/>
    <m/>
    <m/>
    <m/>
    <m/>
    <m/>
    <m/>
    <n v="0"/>
    <n v="0"/>
  </r>
  <r>
    <x v="56"/>
    <n v="0.48503479391297699"/>
    <n v="16078771"/>
    <s v="MIDWAY SAFE HARBOR"/>
    <m/>
    <m/>
    <m/>
    <m/>
    <m/>
    <m/>
    <n v="0"/>
    <n v="0"/>
  </r>
  <r>
    <x v="56"/>
    <n v="0.48503479391297699"/>
    <n v="16083207"/>
    <s v="INFORMATION SERVICES SUPPORT"/>
    <m/>
    <m/>
    <m/>
    <m/>
    <m/>
    <m/>
    <n v="0"/>
    <n v="0"/>
  </r>
  <r>
    <x v="57"/>
    <n v="0.2378478459115152"/>
    <n v="34849"/>
    <s v="ALICE B. LANDRUM MIDDLE SCHOOL"/>
    <m/>
    <m/>
    <n v="102"/>
    <n v="1111"/>
    <m/>
    <m/>
    <n v="102"/>
    <n v="9.1809180918091815E-2"/>
  </r>
  <r>
    <x v="57"/>
    <n v="0.2378478459115152"/>
    <n v="34882"/>
    <s v="ALLEN D NEASE SENIOR HIGH SCHOOL"/>
    <m/>
    <m/>
    <n v="303"/>
    <n v="2059"/>
    <m/>
    <m/>
    <n v="303"/>
    <n v="0.14715881495871783"/>
  </r>
  <r>
    <x v="57"/>
    <n v="0.2378478459115152"/>
    <n v="205574"/>
    <s v="BARTRAM TRAIL HIGH SCHOOL"/>
    <m/>
    <m/>
    <n v="184"/>
    <n v="2106"/>
    <m/>
    <m/>
    <n v="184"/>
    <n v="8.7369420702754039E-2"/>
  </r>
  <r>
    <x v="57"/>
    <n v="0.2378478459115152"/>
    <n v="16044463"/>
    <s v="CREEKSIDE HIGH SCHOOL"/>
    <m/>
    <m/>
    <n v="163"/>
    <n v="2007"/>
    <m/>
    <m/>
    <n v="163"/>
    <n v="8.1215744892874933E-2"/>
  </r>
  <r>
    <x v="57"/>
    <n v="0.2378478459115152"/>
    <n v="34876"/>
    <s v="CROOKSHANK ELEMENTARY SCHOOL"/>
    <m/>
    <m/>
    <n v="554"/>
    <n v="779"/>
    <m/>
    <m/>
    <n v="554"/>
    <n v="0.71116816431322205"/>
  </r>
  <r>
    <x v="57"/>
    <n v="0.2378478459115152"/>
    <n v="35226"/>
    <s v="CUNNINGHAM CREEK ELEMENTARY SCHOOL"/>
    <m/>
    <m/>
    <n v="136"/>
    <n v="956"/>
    <m/>
    <m/>
    <n v="136"/>
    <n v="0.14225941422594143"/>
  </r>
  <r>
    <x v="57"/>
    <n v="0.2378478459115152"/>
    <n v="16023375"/>
    <s v="DURBIN CREEK ELEMENTARY SCHOOL"/>
    <m/>
    <m/>
    <n v="67"/>
    <n v="563"/>
    <m/>
    <m/>
    <n v="67"/>
    <n v="0.11900532859680284"/>
  </r>
  <r>
    <x v="57"/>
    <n v="0.2378478459115152"/>
    <n v="223812"/>
    <s v="FRUIT COVE MIDDLE SCHOOL"/>
    <m/>
    <m/>
    <n v="132"/>
    <n v="1168"/>
    <m/>
    <m/>
    <n v="132"/>
    <n v="0.11301369863013698"/>
  </r>
  <r>
    <x v="57"/>
    <n v="0.2378478459115152"/>
    <n v="34880"/>
    <s v="GAINES ALTERNATIVE AT HAMBLEN"/>
    <m/>
    <m/>
    <n v="13"/>
    <n v="26"/>
    <m/>
    <m/>
    <n v="13"/>
    <n v="0.5"/>
  </r>
  <r>
    <x v="57"/>
    <n v="0.2378478459115152"/>
    <n v="34860"/>
    <s v="GAMBLE ROGERS MIDDLE SCHOOL"/>
    <m/>
    <m/>
    <n v="428"/>
    <n v="840"/>
    <m/>
    <m/>
    <n v="428"/>
    <n v="0.50952380952380949"/>
  </r>
  <r>
    <x v="57"/>
    <n v="0.2378478459115152"/>
    <n v="16025737"/>
    <s v="HICKORY CREEK ELEMENTARY SCHOOL"/>
    <m/>
    <m/>
    <n v="82"/>
    <n v="622"/>
    <m/>
    <m/>
    <n v="82"/>
    <n v="0.13183279742765272"/>
  </r>
  <r>
    <x v="57"/>
    <n v="0.2378478459115152"/>
    <n v="35224"/>
    <s v="JULINGTON CREEK ELEMENTARY SCHOOL"/>
    <m/>
    <m/>
    <n v="142"/>
    <n v="972"/>
    <m/>
    <m/>
    <n v="142"/>
    <n v="0.14609053497942387"/>
  </r>
  <r>
    <x v="57"/>
    <n v="0.2378478459115152"/>
    <n v="34853"/>
    <s v="KETTERLINUS ELEMENTARY SCHOOL"/>
    <m/>
    <m/>
    <n v="200"/>
    <n v="447"/>
    <m/>
    <m/>
    <n v="200"/>
    <n v="0.44742729306487694"/>
  </r>
  <r>
    <x v="57"/>
    <n v="0.2378478459115152"/>
    <n v="16044461"/>
    <s v="LIBERTY PINES ACADEMY"/>
    <m/>
    <m/>
    <n v="161"/>
    <n v="1412"/>
    <m/>
    <m/>
    <n v="161"/>
    <n v="0.11402266288951841"/>
  </r>
  <r>
    <x v="57"/>
    <n v="0.2378478459115152"/>
    <m/>
    <s v="MAINTENANCE/PURCHASING WAREHSE"/>
    <m/>
    <m/>
    <m/>
    <n v="0"/>
    <m/>
    <m/>
    <n v="0"/>
    <n v="0"/>
  </r>
  <r>
    <x v="57"/>
    <n v="0.2378478459115152"/>
    <n v="34871"/>
    <s v="MILL CREEK ELEMENTARY SCHOOL"/>
    <m/>
    <m/>
    <n v="265"/>
    <n v="1096"/>
    <m/>
    <m/>
    <n v="265"/>
    <n v="0.24178832116788321"/>
  </r>
  <r>
    <x v="57"/>
    <n v="0.2378478459115152"/>
    <n v="34850"/>
    <s v="OCEAN PALMS ELEMENTARY SCHOOL"/>
    <m/>
    <m/>
    <n v="41"/>
    <n v="825"/>
    <m/>
    <m/>
    <n v="41"/>
    <n v="4.9696969696969698E-2"/>
  </r>
  <r>
    <x v="57"/>
    <n v="0.2378478459115152"/>
    <n v="34873"/>
    <s v="OSCEOLA ELEMENTARY SCHOOL"/>
    <m/>
    <m/>
    <n v="453"/>
    <n v="657"/>
    <m/>
    <m/>
    <n v="453"/>
    <n v="0.68949771689497719"/>
  </r>
  <r>
    <x v="57"/>
    <n v="0.2378478459115152"/>
    <n v="34862"/>
    <s v="OTIS A. MASON ELEMENTARY SCHOOL"/>
    <m/>
    <m/>
    <n v="304"/>
    <n v="619"/>
    <m/>
    <m/>
    <n v="304"/>
    <n v="0.4911147011308562"/>
  </r>
  <r>
    <x v="57"/>
    <n v="0.2378478459115152"/>
    <n v="16044465"/>
    <s v="PACETTI BAY MIDDLE SCHOOL"/>
    <m/>
    <m/>
    <n v="227"/>
    <n v="1223"/>
    <m/>
    <m/>
    <n v="227"/>
    <n v="0.18560915780866721"/>
  </r>
  <r>
    <x v="57"/>
    <n v="0.2378478459115152"/>
    <n v="16069401"/>
    <s v="PALENCIA ELEMENTARY SCHOOL"/>
    <m/>
    <m/>
    <n v="156"/>
    <n v="710"/>
    <m/>
    <m/>
    <n v="156"/>
    <n v="0.21971830985915494"/>
  </r>
  <r>
    <x v="57"/>
    <n v="0.2378478459115152"/>
    <n v="205573"/>
    <s v="PEDRO MENENDEZ HIGH SCHOOL"/>
    <m/>
    <m/>
    <n v="534"/>
    <n v="1389"/>
    <m/>
    <m/>
    <n v="534"/>
    <n v="0.38444924406047515"/>
  </r>
  <r>
    <x v="57"/>
    <n v="0.2378478459115152"/>
    <n v="16044462"/>
    <s v="PONTE VEDRA HIGH SCHOOL"/>
    <m/>
    <m/>
    <n v="91"/>
    <n v="1629"/>
    <m/>
    <m/>
    <n v="91"/>
    <n v="5.5862492326580727E-2"/>
  </r>
  <r>
    <x v="57"/>
    <n v="0.2378478459115152"/>
    <n v="34848"/>
    <s v="PONTE VEDRA PALM VALLEY- RAWLINGS ELEMENTARY SCHOOL"/>
    <m/>
    <m/>
    <n v="123"/>
    <n v="1025"/>
    <m/>
    <m/>
    <n v="123"/>
    <n v="0.12"/>
  </r>
  <r>
    <x v="57"/>
    <n v="0.2378478459115152"/>
    <n v="34877"/>
    <s v="R J MURRAY MIDDLE SCHOOL"/>
    <m/>
    <m/>
    <n v="352"/>
    <n v="708"/>
    <m/>
    <m/>
    <n v="352"/>
    <n v="0.49717514124293788"/>
  </r>
  <r>
    <x v="57"/>
    <n v="0.2378478459115152"/>
    <n v="34856"/>
    <s v="R. B. HUNT ELEMENTARY SCHOOL"/>
    <m/>
    <m/>
    <n v="211"/>
    <n v="658"/>
    <m/>
    <m/>
    <n v="211"/>
    <n v="0.32066869300911854"/>
  </r>
  <r>
    <x v="57"/>
    <n v="0.2378478459115152"/>
    <n v="34881"/>
    <s v="SEBASTIAN MIDDLE SCHOOL"/>
    <m/>
    <m/>
    <n v="345"/>
    <n v="622"/>
    <m/>
    <m/>
    <n v="345"/>
    <n v="0.55466237942122187"/>
  </r>
  <r>
    <x v="57"/>
    <n v="0.2378478459115152"/>
    <n v="16025740"/>
    <s v="SOUTH WOODS ELEMENTARY SCHOOL"/>
    <m/>
    <m/>
    <n v="518"/>
    <n v="635"/>
    <m/>
    <m/>
    <n v="518"/>
    <n v="0.81574803149606301"/>
  </r>
  <r>
    <x v="57"/>
    <n v="0.2378478459115152"/>
    <n v="16038114"/>
    <s v="ST JOHNS COUNTY JUVENILE RESIDENTIAL"/>
    <m/>
    <m/>
    <m/>
    <n v="69"/>
    <m/>
    <m/>
    <n v="0"/>
    <n v="0"/>
  </r>
  <r>
    <x v="57"/>
    <n v="0.2378478459115152"/>
    <n v="16043300"/>
    <s v="ST JOHNS COUNTY TRANSITION PROGRAM"/>
    <m/>
    <m/>
    <n v="23"/>
    <n v="32"/>
    <m/>
    <m/>
    <n v="23"/>
    <n v="0.71875"/>
  </r>
  <r>
    <x v="57"/>
    <n v="0.2378478459115152"/>
    <n v="34875"/>
    <s v="ST. AUGUSTINE HIGH SCHOOL"/>
    <m/>
    <m/>
    <n v="718"/>
    <n v="1687"/>
    <m/>
    <m/>
    <n v="718"/>
    <n v="0.42560758743331356"/>
  </r>
  <r>
    <x v="57"/>
    <n v="0.2378478459115152"/>
    <n v="16025736"/>
    <s v="ST. JOHNS TECHNICAL HIGH SCHOOL"/>
    <m/>
    <m/>
    <n v="199"/>
    <n v="271"/>
    <m/>
    <m/>
    <n v="199"/>
    <n v="0.73431734317343178"/>
  </r>
  <r>
    <x v="57"/>
    <n v="0.2378478459115152"/>
    <n v="16068376"/>
    <s v="ST. JOHNS VIRTUAL FRANCHISE"/>
    <m/>
    <m/>
    <n v="7"/>
    <n v="121"/>
    <m/>
    <m/>
    <n v="7"/>
    <n v="5.7851239669421489E-2"/>
  </r>
  <r>
    <x v="57"/>
    <n v="0.2378478459115152"/>
    <n v="16068377"/>
    <s v="ST. JOHNS VIRTUAL INSTRUCTION PROGRAM K-8"/>
    <m/>
    <m/>
    <m/>
    <s v="*"/>
    <m/>
    <m/>
    <n v="0"/>
    <n v="0"/>
  </r>
  <r>
    <x v="57"/>
    <n v="0.2378478459115152"/>
    <n v="35225"/>
    <s v="SWITZERLAND POINT MIDDLE SCHOOL"/>
    <m/>
    <m/>
    <n v="126"/>
    <n v="1227"/>
    <m/>
    <m/>
    <n v="126"/>
    <n v="0.10268948655256724"/>
  </r>
  <r>
    <x v="57"/>
    <n v="0.2378478459115152"/>
    <n v="34883"/>
    <s v="THE WEBSTER SCHOOL"/>
    <m/>
    <m/>
    <n v="483"/>
    <n v="615"/>
    <m/>
    <m/>
    <n v="483"/>
    <n v="0.78536585365853662"/>
  </r>
  <r>
    <x v="57"/>
    <n v="0.2378478459115152"/>
    <n v="16081916"/>
    <s v="Valley Ridge Academy"/>
    <m/>
    <m/>
    <n v="155"/>
    <n v="1435"/>
    <m/>
    <m/>
    <n v="155"/>
    <n v="0.10801393728222997"/>
  </r>
  <r>
    <x v="57"/>
    <n v="0.2378478459115152"/>
    <n v="16081917"/>
    <s v="Patriot Oaks Academy"/>
    <m/>
    <m/>
    <n v="50"/>
    <n v="1339"/>
    <m/>
    <m/>
    <n v="50"/>
    <n v="3.7341299477221805E-2"/>
  </r>
  <r>
    <x v="57"/>
    <n v="0.2378478459115152"/>
    <n v="16025738"/>
    <s v="TIMBERLIN CREEK ELEMENTARY SCHOOL"/>
    <m/>
    <m/>
    <n v="75"/>
    <n v="942"/>
    <m/>
    <m/>
    <n v="75"/>
    <n v="7.9617834394904455E-2"/>
  </r>
  <r>
    <x v="57"/>
    <n v="0.2378478459115152"/>
    <n v="34861"/>
    <s v="W. DOUGLAS HARTLEY ELEMENTARY"/>
    <m/>
    <m/>
    <n v="298"/>
    <n v="689"/>
    <m/>
    <m/>
    <n v="298"/>
    <n v="0.43251088534107401"/>
  </r>
  <r>
    <x v="57"/>
    <n v="0.2378478459115152"/>
    <n v="16044464"/>
    <s v="WARDS CREEK ELEMENTARY SCHOOL"/>
    <m/>
    <m/>
    <n v="186"/>
    <n v="896"/>
    <m/>
    <m/>
    <n v="186"/>
    <n v="0.20758928571428573"/>
  </r>
  <r>
    <x v="58"/>
    <n v="0.73046589153589725"/>
    <n v="16040210"/>
    <s v="ALLAPATTAH FLATS K-8"/>
    <m/>
    <m/>
    <n v="757"/>
    <n v="978"/>
    <m/>
    <m/>
    <n v="757"/>
    <n v="0.77402862985685073"/>
  </r>
  <r>
    <x v="58"/>
    <n v="0.73046589153589725"/>
    <n v="38870"/>
    <s v="BAYSHORE ELEMENTARY SCHOOL"/>
    <m/>
    <m/>
    <n v="517"/>
    <n v="706"/>
    <m/>
    <m/>
    <n v="517"/>
    <n v="0.73229461756373937"/>
  </r>
  <r>
    <x v="58"/>
    <n v="0.73046589153589725"/>
    <n v="38805"/>
    <s v="CHESTER A. MOORE ELEMENTARY SCHOOL"/>
    <m/>
    <m/>
    <m/>
    <n v="635"/>
    <n v="2014"/>
    <n v="81.61"/>
    <n v="635"/>
    <n v="1"/>
  </r>
  <r>
    <x v="58"/>
    <n v="0.73046589153589725"/>
    <n v="16021966"/>
    <s v="DALE CASSENS EDUCATION COMPLEX"/>
    <m/>
    <m/>
    <m/>
    <n v="240"/>
    <n v="2014"/>
    <n v="77.739999999999995"/>
    <n v="240"/>
    <n v="1"/>
  </r>
  <r>
    <x v="58"/>
    <n v="0.73046589153589725"/>
    <n v="38819"/>
    <s v="DAN MCCARTY MIDDLE SCHOOL"/>
    <m/>
    <m/>
    <m/>
    <n v="598"/>
    <n v="2014"/>
    <n v="69.08"/>
    <n v="598"/>
    <n v="1"/>
  </r>
  <r>
    <x v="58"/>
    <n v="0.73046589153589725"/>
    <n v="205983"/>
    <s v="DATA HOUSE"/>
    <m/>
    <m/>
    <n v="4"/>
    <n v="13"/>
    <m/>
    <m/>
    <n v="4"/>
    <n v="0.30769230769230771"/>
  </r>
  <r>
    <x v="58"/>
    <n v="0.73046589153589725"/>
    <n v="16077194"/>
    <s v="DELAWARE AVE COMPLEX"/>
    <m/>
    <m/>
    <m/>
    <s v="0"/>
    <m/>
    <m/>
    <n v="0"/>
    <n v="0"/>
  </r>
  <r>
    <x v="58"/>
    <n v="0.73046589153589725"/>
    <n v="16045935"/>
    <s v="EAST COUNTY COMPLEX"/>
    <m/>
    <m/>
    <m/>
    <s v="0"/>
    <m/>
    <m/>
    <n v="0"/>
    <n v="0"/>
  </r>
  <r>
    <x v="58"/>
    <n v="0.73046589153589725"/>
    <n v="38804"/>
    <s v="FAIRLAWN ELEMENTARY SCHOOL"/>
    <m/>
    <m/>
    <n v="376"/>
    <n v="637"/>
    <m/>
    <m/>
    <n v="376"/>
    <n v="0.59026687598116168"/>
  </r>
  <r>
    <x v="58"/>
    <n v="0.73046589153589725"/>
    <n v="38866"/>
    <s v="FLORESTA ELEMENTARY SCHOOL"/>
    <m/>
    <m/>
    <n v="465"/>
    <n v="627"/>
    <m/>
    <m/>
    <n v="465"/>
    <n v="0.74162679425837319"/>
  </r>
  <r>
    <x v="58"/>
    <n v="0.73046589153589725"/>
    <n v="38856"/>
    <s v="FOREST GROVE MIDDLE SCHOOL"/>
    <m/>
    <m/>
    <m/>
    <n v="799"/>
    <n v="2014"/>
    <n v="64.45"/>
    <n v="799"/>
    <n v="1"/>
  </r>
  <r>
    <x v="58"/>
    <n v="0.73046589153589725"/>
    <n v="38858"/>
    <s v="FORT PIERCE CENTRAL HIGH SCHOOL"/>
    <m/>
    <m/>
    <n v="1768"/>
    <n v="2727"/>
    <m/>
    <m/>
    <n v="1768"/>
    <n v="0.64833149981664828"/>
  </r>
  <r>
    <x v="58"/>
    <n v="0.73046589153589725"/>
    <n v="201803"/>
    <s v="FORT PIERCE MAGNET SCHOOL OF THE ARTS"/>
    <m/>
    <m/>
    <n v="349"/>
    <n v="428"/>
    <m/>
    <m/>
    <n v="349"/>
    <n v="0.81542056074766356"/>
  </r>
  <r>
    <x v="58"/>
    <n v="0.73046589153589725"/>
    <n v="38808"/>
    <s v="FORT PIERCE WESTWOOD HIGH SCHOOL"/>
    <m/>
    <s v="HARBOR BRANCH"/>
    <n v="1188"/>
    <n v="1534"/>
    <m/>
    <m/>
    <n v="1188"/>
    <n v="0.77444589308996092"/>
  </r>
  <r>
    <x v="58"/>
    <n v="0.73046589153589725"/>
    <n v="38811"/>
    <s v="FRANCES K. SWEET ELEMENTARY SCHOOL"/>
    <m/>
    <m/>
    <n v="445"/>
    <n v="628"/>
    <m/>
    <m/>
    <n v="445"/>
    <n v="0.70859872611464969"/>
  </r>
  <r>
    <x v="58"/>
    <n v="0.73046589153589725"/>
    <n v="16077193"/>
    <s v="GARDEN CITY COMPLEX"/>
    <m/>
    <m/>
    <m/>
    <s v="0"/>
    <m/>
    <m/>
    <n v="0"/>
    <n v="0"/>
  </r>
  <r>
    <x v="58"/>
    <n v="0.73046589153589725"/>
    <n v="16082481"/>
    <s v="HOMEBOUND PROGRAM"/>
    <m/>
    <m/>
    <m/>
    <s v="*"/>
    <m/>
    <m/>
    <n v="0"/>
    <n v="0"/>
  </r>
  <r>
    <x v="58"/>
    <n v="0.73046589153589725"/>
    <n v="38821"/>
    <s v="LAKEWOOD PARK ELEMENTARY SCHOOL"/>
    <m/>
    <m/>
    <m/>
    <n v="703"/>
    <n v="2014"/>
    <n v="67.95"/>
    <n v="703"/>
    <n v="1"/>
  </r>
  <r>
    <x v="58"/>
    <n v="0.73046589153589725"/>
    <n v="38814"/>
    <s v="LAWNWOOD ELEMENTARY SCHOOL"/>
    <m/>
    <m/>
    <m/>
    <n v="691"/>
    <n v="2014"/>
    <n v="67.739999999999995"/>
    <n v="691"/>
    <n v="1"/>
  </r>
  <r>
    <x v="58"/>
    <n v="0.73046589153589725"/>
    <n v="38817"/>
    <s v="LINCOLN PARK ACADEMY"/>
    <m/>
    <m/>
    <n v="844"/>
    <n v="1797"/>
    <m/>
    <m/>
    <n v="844"/>
    <n v="0.46967167501391205"/>
  </r>
  <r>
    <x v="58"/>
    <n v="0.73046589153589725"/>
    <n v="38871"/>
    <s v="MANATEE ACADEMY K-8"/>
    <m/>
    <m/>
    <n v="922"/>
    <n v="1374"/>
    <m/>
    <m/>
    <n v="922"/>
    <n v="0.67103347889374088"/>
  </r>
  <r>
    <x v="58"/>
    <n v="0.73046589153589725"/>
    <n v="38827"/>
    <s v="MARIPOSA ELEMENTARY SCHOOL"/>
    <m/>
    <m/>
    <n v="542"/>
    <n v="727"/>
    <m/>
    <m/>
    <n v="542"/>
    <n v="0.74552957359009631"/>
  </r>
  <r>
    <x v="58"/>
    <n v="0.73046589153589725"/>
    <n v="16027327"/>
    <s v="MEANS COURT"/>
    <m/>
    <m/>
    <m/>
    <s v="0"/>
    <m/>
    <m/>
    <n v="0"/>
    <n v="0"/>
  </r>
  <r>
    <x v="58"/>
    <n v="0.73046589153589725"/>
    <n v="38823"/>
    <s v="MORNINGSIDE ELEMENTARY SCHOOL"/>
    <m/>
    <m/>
    <n v="385"/>
    <n v="602"/>
    <m/>
    <m/>
    <n v="385"/>
    <n v="0.63953488372093026"/>
  </r>
  <r>
    <x v="58"/>
    <n v="0.73046589153589725"/>
    <n v="17002432"/>
    <s v="MOSAIC DIGITAL ACADEMY (ST. LUCIE VIRTUAL FRANCHISE)"/>
    <m/>
    <m/>
    <n v="27"/>
    <n v="97"/>
    <m/>
    <m/>
    <n v="27"/>
    <n v="0.27835051546391754"/>
  </r>
  <r>
    <x v="58"/>
    <n v="0.73046589153589725"/>
    <n v="16077110"/>
    <s v="MOSAIC DIGITAL ACADEMY LOWER SCHOOL"/>
    <m/>
    <m/>
    <n v="15"/>
    <n v="51"/>
    <m/>
    <m/>
    <n v="15"/>
    <n v="0.29411764705882354"/>
  </r>
  <r>
    <x v="58"/>
    <n v="0.73046589153589725"/>
    <n v="17002433"/>
    <s v="MOSAIC DIGITAL ACADEMY PT ST. LUCIE VIRTUAL INSTRUC (COURSE OFFERINGS)"/>
    <m/>
    <m/>
    <m/>
    <n v="0"/>
    <m/>
    <m/>
    <n v="0"/>
    <n v="0"/>
  </r>
  <r>
    <x v="58"/>
    <n v="0.73046589153589725"/>
    <n v="16041213"/>
    <s v="NORTH COUNTY COMPLEX"/>
    <m/>
    <m/>
    <m/>
    <s v="0"/>
    <m/>
    <m/>
    <n v="0"/>
    <n v="0"/>
  </r>
  <r>
    <x v="58"/>
    <n v="0.73046589153589725"/>
    <n v="38869"/>
    <s v="NORTHPORT K-8 SCHOOL"/>
    <m/>
    <m/>
    <n v="919"/>
    <n v="1160"/>
    <m/>
    <m/>
    <n v="919"/>
    <n v="0.79224137931034477"/>
  </r>
  <r>
    <x v="58"/>
    <n v="0.73046589153589725"/>
    <n v="16022741"/>
    <s v="OAK HAMMOCK K-8 SCHOOL"/>
    <m/>
    <m/>
    <n v="965"/>
    <n v="1451"/>
    <m/>
    <m/>
    <n v="965"/>
    <n v="0.66505858028945553"/>
  </r>
  <r>
    <x v="58"/>
    <n v="0.73046589153589725"/>
    <n v="225532"/>
    <s v="PACE CENTER FOR GIRLS, TREASURE COAST"/>
    <m/>
    <m/>
    <n v="19"/>
    <n v="36"/>
    <m/>
    <m/>
    <n v="19"/>
    <n v="0.52777777777777779"/>
  </r>
  <r>
    <x v="58"/>
    <n v="0.73046589153589725"/>
    <n v="38867"/>
    <s v="PARKWAY ELEMENTARY SCHOOL"/>
    <m/>
    <m/>
    <n v="435"/>
    <n v="533"/>
    <m/>
    <m/>
    <n v="435"/>
    <n v="0.81613508442776739"/>
  </r>
  <r>
    <x v="58"/>
    <n v="0.73046589153589725"/>
    <n v="203726"/>
    <s v="PERFORMANCE BASED PREPARATORY ACADEMY"/>
    <m/>
    <m/>
    <n v="156"/>
    <n v="215"/>
    <m/>
    <m/>
    <n v="156"/>
    <n v="0.72558139534883725"/>
  </r>
  <r>
    <x v="58"/>
    <n v="0.73046589153589725"/>
    <n v="38828"/>
    <s v="PORT ST. LUCIE HIGH SCHOOL"/>
    <m/>
    <m/>
    <n v="1038"/>
    <n v="1598"/>
    <m/>
    <m/>
    <n v="1038"/>
    <n v="0.64956195244055071"/>
  </r>
  <r>
    <x v="58"/>
    <n v="0.73046589153589725"/>
    <n v="38864"/>
    <s v="RIVERS EDGE ELEMENTARY SCHOOL"/>
    <m/>
    <m/>
    <n v="470"/>
    <n v="675"/>
    <m/>
    <m/>
    <n v="470"/>
    <n v="0.6962962962962963"/>
  </r>
  <r>
    <x v="58"/>
    <n v="0.73046589153589725"/>
    <n v="16039730"/>
    <s v="SAMUEL S. GAINES ACADEMY K-8"/>
    <m/>
    <m/>
    <m/>
    <n v="1272"/>
    <n v="2014"/>
    <n v="71.239999999999995"/>
    <n v="1272"/>
    <n v="1"/>
  </r>
  <r>
    <x v="58"/>
    <n v="0.73046589153589725"/>
    <n v="201805"/>
    <s v="SAVANNA RIDGE ELEMENTARY SCHOOL"/>
    <m/>
    <m/>
    <n v="437"/>
    <n v="524"/>
    <m/>
    <m/>
    <n v="437"/>
    <n v="0.83396946564885499"/>
  </r>
  <r>
    <x v="58"/>
    <n v="0.73046589153589725"/>
    <n v="16027326"/>
    <s v="SOUTH COUNTY COMPLEX FACILITIES &amp; MAINTENANCE"/>
    <m/>
    <m/>
    <m/>
    <s v="0"/>
    <m/>
    <m/>
    <n v="0"/>
    <n v="0"/>
  </r>
  <r>
    <x v="58"/>
    <n v="0.73046589153589725"/>
    <n v="16027332"/>
    <s v="SOUTH COUNTY COMPLEX PURCHASING, STORES &amp; WAREHOUSE"/>
    <m/>
    <m/>
    <m/>
    <s v="0"/>
    <m/>
    <m/>
    <n v="0"/>
    <n v="0"/>
  </r>
  <r>
    <x v="58"/>
    <n v="0.73046589153589725"/>
    <n v="16027325"/>
    <s v="SOUTH COUNTY COMPLEX TRANSPORTATION DEPT."/>
    <m/>
    <m/>
    <m/>
    <s v="0"/>
    <m/>
    <m/>
    <n v="0"/>
    <n v="0"/>
  </r>
  <r>
    <x v="58"/>
    <n v="0.73046589153589725"/>
    <n v="38865"/>
    <s v="SOUTHERN OAKS MIDDLE SCHOOL"/>
    <m/>
    <m/>
    <n v="617"/>
    <n v="918"/>
    <m/>
    <m/>
    <n v="617"/>
    <n v="0.67211328976034856"/>
  </r>
  <r>
    <x v="58"/>
    <n v="0.73046589153589725"/>
    <n v="38825"/>
    <s v="SOUTHPORT MIDDLE SCHOOL"/>
    <m/>
    <m/>
    <n v="554"/>
    <n v="749"/>
    <m/>
    <m/>
    <n v="554"/>
    <n v="0.73965287049399198"/>
  </r>
  <r>
    <x v="58"/>
    <n v="0.73046589153589725"/>
    <n v="127892"/>
    <s v="ST LUCIE COUNTY SCHOOL DIST"/>
    <m/>
    <m/>
    <m/>
    <s v="0"/>
    <m/>
    <m/>
    <n v="0"/>
    <n v="0"/>
  </r>
  <r>
    <x v="58"/>
    <n v="0.73046589153589725"/>
    <n v="16082480"/>
    <s v="ST. LUCIE COUNTY SCHOOL BOARD - JAIL PROG - ESE"/>
    <m/>
    <m/>
    <n v="9"/>
    <n v="13"/>
    <m/>
    <m/>
    <n v="9"/>
    <n v="0.69230769230769229"/>
  </r>
  <r>
    <x v="58"/>
    <n v="0.73046589153589725"/>
    <n v="16027333"/>
    <s v="ST. LUCIE COUNTY SCHOOL DISTRICT OFFICE"/>
    <m/>
    <m/>
    <m/>
    <s v="0"/>
    <m/>
    <m/>
    <n v="0"/>
    <n v="0"/>
  </r>
  <r>
    <x v="58"/>
    <n v="0.73046589153589725"/>
    <n v="203727"/>
    <s v="ST. LUCIE DETENTION CENTER"/>
    <m/>
    <m/>
    <n v="6"/>
    <n v="34"/>
    <m/>
    <m/>
    <n v="6"/>
    <n v="0.17647058823529413"/>
  </r>
  <r>
    <x v="58"/>
    <n v="0.73046589153589725"/>
    <n v="38816"/>
    <s v="ST. LUCIE ELEMENTARY SCHOOL"/>
    <m/>
    <m/>
    <m/>
    <n v="767"/>
    <n v="2014"/>
    <n v="78.010000000000005"/>
    <n v="767"/>
    <n v="1"/>
  </r>
  <r>
    <x v="58"/>
    <n v="0.73046589153589725"/>
    <n v="16082479"/>
    <s v="ST. LUCIE VIRTUAL INSTRUCTION PROGRAM"/>
    <m/>
    <m/>
    <n v="5"/>
    <n v="14"/>
    <m/>
    <m/>
    <n v="5"/>
    <n v="0.35714285714285715"/>
  </r>
  <r>
    <x v="58"/>
    <n v="0.73046589153589725"/>
    <n v="205753"/>
    <s v="ST. LUCIE WEST CENTENNIAL HIGH"/>
    <m/>
    <m/>
    <n v="1604"/>
    <n v="2523"/>
    <m/>
    <m/>
    <n v="1604"/>
    <n v="0.63575108997225527"/>
  </r>
  <r>
    <x v="58"/>
    <n v="0.73046589153589725"/>
    <n v="201806"/>
    <s v="ST. LUCIE WEST K-8 SCHOOL"/>
    <m/>
    <m/>
    <n v="897"/>
    <n v="1404"/>
    <m/>
    <m/>
    <n v="897"/>
    <n v="0.63888888888888884"/>
  </r>
  <r>
    <x v="58"/>
    <n v="0.73046589153589725"/>
    <n v="16027674"/>
    <s v="TREASURE COAST HIGH SCHOOL"/>
    <m/>
    <m/>
    <n v="1569"/>
    <n v="2614"/>
    <m/>
    <m/>
    <n v="1569"/>
    <n v="0.60022953328232598"/>
  </r>
  <r>
    <x v="58"/>
    <n v="0.73046589153589725"/>
    <n v="38826"/>
    <s v="VILLAGE GREEN ENVIRONMENTAL STUDIES SCHOOL"/>
    <m/>
    <m/>
    <n v="378"/>
    <n v="519"/>
    <m/>
    <m/>
    <n v="378"/>
    <n v="0.72832369942196529"/>
  </r>
  <r>
    <x v="58"/>
    <n v="0.73046589153589725"/>
    <n v="38860"/>
    <s v="WEATHERBEE ELEMENTARY SCHOOL"/>
    <m/>
    <m/>
    <m/>
    <n v="708"/>
    <n v="2014"/>
    <n v="74.36"/>
    <n v="708"/>
    <n v="1"/>
  </r>
  <r>
    <x v="58"/>
    <n v="0.73046589153589725"/>
    <n v="16034640"/>
    <s v="WEST GATE K-8 SCHOOL"/>
    <m/>
    <m/>
    <n v="727"/>
    <n v="1261"/>
    <m/>
    <m/>
    <n v="727"/>
    <n v="0.57652656621728782"/>
  </r>
  <r>
    <x v="58"/>
    <n v="0.73046589153589725"/>
    <n v="38861"/>
    <s v="WHITE CITY ELEMENTARY SCHOOL"/>
    <m/>
    <m/>
    <m/>
    <n v="538"/>
    <n v="2014"/>
    <n v="70.41"/>
    <n v="538"/>
    <n v="1"/>
  </r>
  <r>
    <x v="58"/>
    <n v="0.73046589153589725"/>
    <n v="38829"/>
    <s v="WINDMILL POINT ELEMENTARY SCHOOL"/>
    <m/>
    <m/>
    <n v="592"/>
    <n v="779"/>
    <m/>
    <m/>
    <n v="592"/>
    <n v="0.75994865211810014"/>
  </r>
  <r>
    <x v="59"/>
    <n v="0.76375217139548346"/>
    <n v="37536"/>
    <s v="BUSHNELL ELEMENTARY SCHOOL"/>
    <m/>
    <m/>
    <n v="508"/>
    <n v="727"/>
    <m/>
    <m/>
    <n v="508"/>
    <n v="0.69876203576341123"/>
  </r>
  <r>
    <x v="59"/>
    <n v="0.76375217139548346"/>
    <n v="37556"/>
    <s v="LAKE PANASOFFKEE ELEMENTARY SCHOOL"/>
    <m/>
    <m/>
    <n v="381"/>
    <n v="490"/>
    <m/>
    <m/>
    <n v="381"/>
    <n v="0.77755102040816326"/>
  </r>
  <r>
    <x v="59"/>
    <n v="0.76375217139548346"/>
    <n v="37535"/>
    <s v="SOUTH SUMTER HIGH SCHOOL"/>
    <m/>
    <m/>
    <n v="680"/>
    <n v="1034"/>
    <m/>
    <m/>
    <n v="680"/>
    <n v="0.65764023210831724"/>
  </r>
  <r>
    <x v="59"/>
    <n v="0.76375217139548346"/>
    <n v="37631"/>
    <s v="SOUTH SUMTER MIDDLE SCHOOL"/>
    <m/>
    <m/>
    <n v="606"/>
    <n v="846"/>
    <m/>
    <m/>
    <n v="606"/>
    <n v="0.71631205673758869"/>
  </r>
  <r>
    <x v="59"/>
    <n v="0.76375217139548346"/>
    <n v="16067669"/>
    <s v="SUMTER ALTERNATIVES"/>
    <m/>
    <m/>
    <n v="75"/>
    <n v="85"/>
    <m/>
    <m/>
    <n v="75"/>
    <n v="0.88235294117647056"/>
  </r>
  <r>
    <x v="59"/>
    <n v="0.76375217139548346"/>
    <n v="37620"/>
    <s v="SUMTER COUNTY ADULT CENTER"/>
    <m/>
    <m/>
    <m/>
    <n v="0"/>
    <m/>
    <m/>
    <n v="0"/>
    <n v="0"/>
  </r>
  <r>
    <x v="59"/>
    <n v="0.76375217139548346"/>
    <m/>
    <s v="SUMTER COUNTY VIRTUAL INSTRUCTION PROGRAM"/>
    <m/>
    <m/>
    <m/>
    <s v="*"/>
    <m/>
    <m/>
    <n v="0"/>
    <n v="0"/>
  </r>
  <r>
    <x v="59"/>
    <n v="0.76375217139548346"/>
    <n v="16067093"/>
    <s v="SUMTER DISTRICT OFFICE"/>
    <m/>
    <m/>
    <m/>
    <n v="0"/>
    <m/>
    <m/>
    <n v="0"/>
    <n v="0"/>
  </r>
  <r>
    <x v="59"/>
    <n v="0.76375217139548346"/>
    <n v="37632"/>
    <s v="WEBSTER ELEMENTARY SCHOOL"/>
    <m/>
    <m/>
    <n v="509"/>
    <n v="610"/>
    <m/>
    <m/>
    <n v="509"/>
    <n v="0.83442622950819667"/>
  </r>
  <r>
    <x v="59"/>
    <n v="0.76375217139548346"/>
    <n v="38781"/>
    <s v="WILDWOOD ELEMENTARY SCHOOL"/>
    <m/>
    <m/>
    <n v="671"/>
    <n v="741"/>
    <m/>
    <m/>
    <n v="671"/>
    <n v="0.90553306342780027"/>
  </r>
  <r>
    <x v="59"/>
    <n v="0.76375217139548346"/>
    <n v="38783"/>
    <s v="WILDWOOD MIDDLE/ HIGH SCHOOL"/>
    <m/>
    <m/>
    <n v="527"/>
    <n v="648"/>
    <m/>
    <m/>
    <n v="527"/>
    <n v="0.81327160493827155"/>
  </r>
  <r>
    <x v="60"/>
    <n v="0.99370756747805933"/>
    <n v="208430"/>
    <s v="BRANFORD ELEMENTARY SCHOOL"/>
    <m/>
    <m/>
    <m/>
    <n v="675"/>
    <n v="2015"/>
    <n v="0.70709999999999995"/>
    <n v="675"/>
    <n v="1"/>
  </r>
  <r>
    <x v="60"/>
    <n v="0.99370756747805933"/>
    <n v="34738"/>
    <s v="BRANFORD HIGH SCHOOL"/>
    <m/>
    <m/>
    <m/>
    <n v="746"/>
    <n v="2015"/>
    <n v="0.70709999999999995"/>
    <n v="746"/>
    <n v="1"/>
  </r>
  <r>
    <x v="60"/>
    <n v="0.99370756747805933"/>
    <n v="228439"/>
    <s v="FLORIDA SHERIFF'S BOYS RANCH"/>
    <m/>
    <m/>
    <n v="2"/>
    <n v="40"/>
    <m/>
    <m/>
    <n v="2"/>
    <n v="0.05"/>
  </r>
  <r>
    <x v="60"/>
    <n v="0.99370756747805933"/>
    <n v="127559"/>
    <s v="SUWANNEE DISTRICT OFFICE"/>
    <m/>
    <m/>
    <m/>
    <n v="0"/>
    <m/>
    <m/>
    <n v="0"/>
    <n v="0"/>
  </r>
  <r>
    <x v="60"/>
    <n v="0.99370756747805933"/>
    <n v="16042150"/>
    <s v="SUWANNEE ELEMENTARY SCHOOL"/>
    <m/>
    <m/>
    <m/>
    <n v="774"/>
    <n v="2015"/>
    <n v="0.70709999999999995"/>
    <n v="774"/>
    <n v="1"/>
  </r>
  <r>
    <x v="60"/>
    <n v="0.99370756747805933"/>
    <n v="34800"/>
    <s v="SUWANNEE HIGH SCHOOL"/>
    <m/>
    <m/>
    <m/>
    <n v="1257"/>
    <n v="2015"/>
    <n v="0.70709999999999995"/>
    <n v="1257"/>
    <n v="1"/>
  </r>
  <r>
    <x v="60"/>
    <n v="0.99370756747805933"/>
    <n v="34798"/>
    <s v="SUWANNEE INTERMEDIATE SCHOOL"/>
    <m/>
    <m/>
    <m/>
    <n v="705"/>
    <n v="2015"/>
    <n v="0.70709999999999995"/>
    <n v="705"/>
    <n v="1"/>
  </r>
  <r>
    <x v="60"/>
    <n v="0.99370756747805933"/>
    <n v="34799"/>
    <s v="SUWANNEE MIDDLE SCHOOL"/>
    <m/>
    <m/>
    <m/>
    <n v="957"/>
    <n v="2015"/>
    <n v="0.70709999999999995"/>
    <n v="957"/>
    <n v="1"/>
  </r>
  <r>
    <x v="60"/>
    <n v="0.99370756747805933"/>
    <n v="34802"/>
    <s v="SUWANNEE PRIMARY SCHOOL"/>
    <m/>
    <m/>
    <m/>
    <n v="885"/>
    <n v="2015"/>
    <n v="0.70709999999999995"/>
    <n v="885"/>
    <n v="1"/>
  </r>
  <r>
    <x v="61"/>
    <n v="0.9487067118644068"/>
    <n v="225534"/>
    <s v="CHILD DEVELOPMENT CENTER"/>
    <m/>
    <m/>
    <m/>
    <n v="255"/>
    <n v="2015"/>
    <n v="0.65300000000000002"/>
    <n v="255"/>
    <n v="1"/>
  </r>
  <r>
    <x v="61"/>
    <n v="0.9487067118644068"/>
    <n v="35352"/>
    <s v="PERRY PRIMARY SCHOOL"/>
    <m/>
    <m/>
    <m/>
    <n v="717"/>
    <n v="2015"/>
    <n v="0.65300000000000002"/>
    <n v="717"/>
    <n v="1"/>
  </r>
  <r>
    <x v="61"/>
    <n v="0.9487067118644068"/>
    <n v="35368"/>
    <s v="STEINHATCHEE SCHOOL"/>
    <m/>
    <m/>
    <m/>
    <n v="68"/>
    <n v="2015"/>
    <n v="0.65300000000000002"/>
    <n v="68"/>
    <n v="1"/>
  </r>
  <r>
    <x v="61"/>
    <n v="0.9487067118644068"/>
    <n v="233466"/>
    <s v="TAYLOR COUNTY ELEMENTARY SCHOOL"/>
    <m/>
    <m/>
    <m/>
    <n v="607"/>
    <n v="2015"/>
    <n v="0.65300000000000002"/>
    <n v="607"/>
    <n v="1"/>
  </r>
  <r>
    <x v="61"/>
    <n v="0.9487067118644068"/>
    <n v="35347"/>
    <s v="TAYLOR COUNTY HIGH SCHOOL"/>
    <m/>
    <m/>
    <m/>
    <n v="666"/>
    <n v="2015"/>
    <n v="0.48299999999999998"/>
    <n v="514.6848"/>
    <n v="0.77280000000000004"/>
  </r>
  <r>
    <x v="61"/>
    <n v="0.9487067118644068"/>
    <n v="35349"/>
    <s v="TAYLOR COUNTY MIDDLE SCHOOL"/>
    <m/>
    <m/>
    <m/>
    <n v="568"/>
    <n v="2015"/>
    <n v="0.65300000000000002"/>
    <n v="568"/>
    <n v="1"/>
  </r>
  <r>
    <x v="61"/>
    <n v="0.9487067118644068"/>
    <n v="35354"/>
    <s v="TAYLOR TECHNICAL INSTITUTE"/>
    <m/>
    <m/>
    <m/>
    <n v="69"/>
    <n v="2015"/>
    <n v="0.65300000000000002"/>
    <n v="69"/>
    <n v="1"/>
  </r>
  <r>
    <x v="62"/>
    <n v="0.99058219178082196"/>
    <n v="34783"/>
    <s v="LAKE BUTLER ELEMENTARY SCHOOL"/>
    <m/>
    <m/>
    <m/>
    <n v="981"/>
    <n v="2015"/>
    <n v="60.89"/>
    <n v="981"/>
    <n v="1"/>
  </r>
  <r>
    <x v="62"/>
    <n v="0.99058219178082196"/>
    <n v="34784"/>
    <s v="LAKE BUTLER MIDDLE SCHOOL"/>
    <m/>
    <m/>
    <m/>
    <n v="718"/>
    <n v="2015"/>
    <n v="60.89"/>
    <n v="718"/>
    <n v="1"/>
  </r>
  <r>
    <x v="62"/>
    <n v="0.99058219178082196"/>
    <n v="227081"/>
    <s v="THE OUTPOST"/>
    <m/>
    <m/>
    <m/>
    <n v="9"/>
    <n v="2015"/>
    <n v="60.89"/>
    <n v="9"/>
    <n v="1"/>
  </r>
  <r>
    <x v="62"/>
    <n v="0.99058219178082196"/>
    <n v="34785"/>
    <s v="UNION COUNTY HIGH SCHOOL"/>
    <m/>
    <m/>
    <m/>
    <n v="606"/>
    <n v="2015"/>
    <n v="60.89"/>
    <n v="606"/>
    <n v="1"/>
  </r>
  <r>
    <x v="62"/>
    <n v="0.99058219178082196"/>
    <n v="17003049"/>
    <s v="UNION DISTRICT OFFICE"/>
    <m/>
    <m/>
    <m/>
    <s v="0"/>
    <m/>
    <m/>
    <n v="0"/>
    <n v="0"/>
  </r>
  <r>
    <x v="62"/>
    <n v="0.99058219178082196"/>
    <n v="17004513"/>
    <s v="Bus Barn"/>
    <m/>
    <m/>
    <n v="0"/>
    <s v="0"/>
    <m/>
    <m/>
    <n v="0"/>
    <n v="0"/>
  </r>
  <r>
    <x v="62"/>
    <n v="0.99058219178082196"/>
    <n v="16044456"/>
    <s v="UNION JUVENILE RESIDENTIAL FACILITY-THREE SPRINGS"/>
    <m/>
    <m/>
    <m/>
    <n v="22"/>
    <m/>
    <m/>
    <n v="0"/>
    <n v="0"/>
  </r>
  <r>
    <x v="63"/>
    <n v="0.65734639061744049"/>
    <n v="34932"/>
    <s v="ATLANTIC HIGH SCHOOL"/>
    <m/>
    <m/>
    <n v="647"/>
    <n v="1102"/>
    <m/>
    <m/>
    <n v="647"/>
    <n v="0.58711433756805809"/>
  </r>
  <r>
    <x v="63"/>
    <n v="0.65734639061744049"/>
    <n v="35840"/>
    <s v="BLUE LAKE ELEMENTARY SCHOOL"/>
    <m/>
    <m/>
    <n v="588"/>
    <n v="702"/>
    <m/>
    <m/>
    <n v="588"/>
    <n v="0.83760683760683763"/>
  </r>
  <r>
    <x v="63"/>
    <n v="0.65734639061744049"/>
    <n v="34906"/>
    <s v="CAMPBELL MIDDLE SCHOOL"/>
    <m/>
    <m/>
    <n v="769"/>
    <n v="869"/>
    <m/>
    <m/>
    <n v="769"/>
    <n v="0.88492520138089759"/>
  </r>
  <r>
    <x v="63"/>
    <n v="0.65734639061744049"/>
    <n v="16020293"/>
    <s v="CENTRAL ADMINISTRATION"/>
    <m/>
    <m/>
    <m/>
    <s v="0"/>
    <m/>
    <m/>
    <n v="0"/>
    <n v="0"/>
  </r>
  <r>
    <x v="63"/>
    <n v="0.65734639061744049"/>
    <n v="16055356"/>
    <s v="CHAMPION ELEMENTARY SCHOOL"/>
    <m/>
    <m/>
    <n v="508"/>
    <n v="586"/>
    <m/>
    <m/>
    <n v="508"/>
    <n v="0.86689419795221845"/>
  </r>
  <r>
    <x v="63"/>
    <n v="0.65734639061744049"/>
    <n v="34958"/>
    <s v="CHISHOLM ELEMENTARY SCHOOL"/>
    <m/>
    <m/>
    <n v="260"/>
    <n v="387"/>
    <m/>
    <m/>
    <n v="260"/>
    <n v="0.67183462532299743"/>
  </r>
  <r>
    <x v="63"/>
    <n v="0.65734639061744049"/>
    <n v="16059274"/>
    <s v="CITRUS GROVE ELEMENTARY"/>
    <m/>
    <m/>
    <n v="647"/>
    <n v="907"/>
    <m/>
    <m/>
    <n v="647"/>
    <n v="0.71334068357221614"/>
  </r>
  <r>
    <x v="63"/>
    <n v="0.65734639061744049"/>
    <n v="34963"/>
    <s v="CORONADO BEACH ELEMENTARY SCHOOL"/>
    <m/>
    <m/>
    <n v="100"/>
    <n v="273"/>
    <m/>
    <m/>
    <n v="100"/>
    <n v="0.36630036630036628"/>
  </r>
  <r>
    <x v="63"/>
    <n v="0.65734639061744049"/>
    <n v="227666"/>
    <s v="CREEKSIDE MIDDLE SCHOOL"/>
    <m/>
    <m/>
    <n v="488"/>
    <n v="1188"/>
    <m/>
    <m/>
    <n v="488"/>
    <n v="0.41077441077441079"/>
  </r>
  <r>
    <x v="63"/>
    <n v="0.65734639061744049"/>
    <n v="16033730"/>
    <s v="CYPRESS CREEK ELEMENTARY SCHOOL"/>
    <m/>
    <m/>
    <n v="305"/>
    <n v="783"/>
    <m/>
    <m/>
    <n v="305"/>
    <n v="0.38952745849297571"/>
  </r>
  <r>
    <x v="63"/>
    <n v="0.65734639061744049"/>
    <n v="14882611"/>
    <s v="DAVID C HINSON SR MIDDLE SCHOOL"/>
    <m/>
    <m/>
    <n v="513"/>
    <n v="942"/>
    <m/>
    <m/>
    <n v="513"/>
    <n v="0.54458598726114649"/>
  </r>
  <r>
    <x v="63"/>
    <n v="0.65734639061744049"/>
    <n v="35818"/>
    <s v="DEBARY ELEMENTARY SCHOOL"/>
    <m/>
    <m/>
    <n v="347"/>
    <n v="760"/>
    <m/>
    <m/>
    <n v="347"/>
    <n v="0.45657894736842103"/>
  </r>
  <r>
    <x v="63"/>
    <n v="0.65734639061744049"/>
    <n v="35838"/>
    <s v="DELAND HIGH SCHOOL"/>
    <m/>
    <m/>
    <n v="1322"/>
    <n v="2433"/>
    <m/>
    <m/>
    <n v="1322"/>
    <n v="0.5433621043978627"/>
  </r>
  <r>
    <x v="63"/>
    <n v="0.65734639061744049"/>
    <n v="35842"/>
    <s v="DELAND MIDDLE SCHOOL"/>
    <m/>
    <m/>
    <n v="684"/>
    <n v="1006"/>
    <m/>
    <m/>
    <n v="684"/>
    <n v="0.67992047713717696"/>
  </r>
  <r>
    <x v="63"/>
    <n v="0.65734639061744049"/>
    <n v="35846"/>
    <s v="DELTONA HIGH SCHOOL"/>
    <m/>
    <m/>
    <n v="1155"/>
    <n v="1769"/>
    <m/>
    <m/>
    <n v="1155"/>
    <n v="0.65291124929338606"/>
  </r>
  <r>
    <x v="63"/>
    <n v="0.65734639061744049"/>
    <n v="35847"/>
    <s v="DELTONA LAKES ELEMENTARY SCHOOL"/>
    <m/>
    <m/>
    <n v="675"/>
    <n v="823"/>
    <m/>
    <m/>
    <n v="675"/>
    <n v="0.82017010935601453"/>
  </r>
  <r>
    <x v="63"/>
    <n v="0.65734639061744049"/>
    <n v="35850"/>
    <s v="DELTONA MIDDLE SCHOOL"/>
    <m/>
    <m/>
    <n v="815"/>
    <n v="1046"/>
    <m/>
    <m/>
    <n v="815"/>
    <n v="0.77915869980879537"/>
  </r>
  <r>
    <x v="63"/>
    <n v="0.65734639061744049"/>
    <n v="35848"/>
    <s v="DISCOVERY ELEMENTARY SCHOOL"/>
    <m/>
    <m/>
    <n v="569"/>
    <n v="647"/>
    <m/>
    <m/>
    <n v="569"/>
    <n v="0.87944358578052551"/>
  </r>
  <r>
    <x v="63"/>
    <n v="0.65734639061744049"/>
    <n v="34942"/>
    <s v="EDGEWATER PUBLIC SCHOOL"/>
    <m/>
    <m/>
    <n v="470"/>
    <n v="595"/>
    <m/>
    <m/>
    <n v="470"/>
    <n v="0.78991596638655459"/>
  </r>
  <r>
    <x v="63"/>
    <n v="0.65734639061744049"/>
    <n v="35835"/>
    <s v="EDITH I. STARKE ELEMENTARY SCHOOL"/>
    <m/>
    <m/>
    <n v="397"/>
    <n v="406"/>
    <m/>
    <m/>
    <n v="397"/>
    <n v="0.97783251231527091"/>
  </r>
  <r>
    <x v="63"/>
    <n v="0.65734639061744049"/>
    <n v="35851"/>
    <s v="ENTERPRISE ELEMENTARY SCHOOL"/>
    <m/>
    <m/>
    <n v="451"/>
    <n v="578"/>
    <m/>
    <m/>
    <n v="451"/>
    <n v="0.7802768166089965"/>
  </r>
  <r>
    <x v="63"/>
    <n v="0.65734639061744049"/>
    <n v="16020294"/>
    <s v="FACILITIES SERVICES DAYTONA"/>
    <m/>
    <m/>
    <m/>
    <s v="0"/>
    <m/>
    <m/>
    <n v="0"/>
    <n v="0"/>
  </r>
  <r>
    <x v="63"/>
    <n v="0.65734639061744049"/>
    <n v="16020295"/>
    <s v="FACILITIES SERVICES DELTONA"/>
    <m/>
    <m/>
    <m/>
    <s v="0"/>
    <m/>
    <m/>
    <n v="0"/>
    <n v="0"/>
  </r>
  <r>
    <x v="63"/>
    <n v="0.65734639061744049"/>
    <n v="35852"/>
    <s v="FOREST LAKE ELEMENTARY SCHOOL"/>
    <m/>
    <m/>
    <n v="491"/>
    <n v="654"/>
    <m/>
    <m/>
    <n v="491"/>
    <n v="0.75076452599388377"/>
  </r>
  <r>
    <x v="63"/>
    <n v="0.65734639061744049"/>
    <n v="227665"/>
    <s v="FREEDOM ELEMENTARY SCHOOL"/>
    <m/>
    <m/>
    <n v="380"/>
    <n v="712"/>
    <m/>
    <m/>
    <n v="380"/>
    <n v="0.5337078651685393"/>
  </r>
  <r>
    <x v="63"/>
    <n v="0.65734639061744049"/>
    <n v="35865"/>
    <s v="FRIENDSHIP ELEMENTARY SCHOOL"/>
    <m/>
    <m/>
    <n v="364"/>
    <n v="421"/>
    <m/>
    <m/>
    <n v="364"/>
    <n v="0.86460807600950118"/>
  </r>
  <r>
    <x v="63"/>
    <n v="0.65734639061744049"/>
    <n v="35844"/>
    <s v="GALAXY MIDDLE SCHOOL"/>
    <m/>
    <m/>
    <n v="741"/>
    <n v="1007"/>
    <m/>
    <m/>
    <n v="741"/>
    <n v="0.73584905660377353"/>
  </r>
  <r>
    <x v="63"/>
    <n v="0.65734639061744049"/>
    <n v="35837"/>
    <s v="GEORGE W. MARKS ELEMENTARY SCHOOL"/>
    <m/>
    <m/>
    <n v="382"/>
    <n v="589"/>
    <m/>
    <m/>
    <n v="382"/>
    <n v="0.64855687606112056"/>
  </r>
  <r>
    <x v="63"/>
    <n v="0.65734639061744049"/>
    <n v="16066392"/>
    <s v="HERBERT STREET CENTER WEST"/>
    <m/>
    <m/>
    <m/>
    <s v="0"/>
    <m/>
    <m/>
    <n v="0"/>
    <n v="0"/>
  </r>
  <r>
    <x v="63"/>
    <n v="0.65734639061744049"/>
    <n v="147940"/>
    <s v="HERITAGE MIDDLE SCHOOL"/>
    <m/>
    <m/>
    <n v="849"/>
    <n v="1151"/>
    <m/>
    <m/>
    <n v="849"/>
    <n v="0.73761946133796696"/>
  </r>
  <r>
    <x v="63"/>
    <n v="0.65734639061744049"/>
    <n v="16066394"/>
    <s v="HIGHBANKS LEARNING CENTER"/>
    <m/>
    <m/>
    <n v="27"/>
    <n v="31"/>
    <m/>
    <m/>
    <n v="27"/>
    <n v="0.87096774193548387"/>
  </r>
  <r>
    <x v="63"/>
    <n v="0.65734639061744049"/>
    <n v="16046140"/>
    <s v="HOLLY HILL SCHOOL"/>
    <m/>
    <m/>
    <n v="893"/>
    <n v="975"/>
    <m/>
    <m/>
    <n v="893"/>
    <n v="0.91589743589743589"/>
  </r>
  <r>
    <x v="63"/>
    <n v="0.65734639061744049"/>
    <n v="34930"/>
    <s v="HORIZON ELEMENTARY SCHOOL"/>
    <m/>
    <m/>
    <n v="470"/>
    <n v="725"/>
    <m/>
    <m/>
    <n v="470"/>
    <n v="0.64827586206896548"/>
  </r>
  <r>
    <x v="63"/>
    <n v="0.65734639061744049"/>
    <n v="34947"/>
    <s v="INDIAN RIVER ELEMENTARY SCHOOL"/>
    <m/>
    <m/>
    <n v="448"/>
    <n v="616"/>
    <m/>
    <m/>
    <n v="448"/>
    <n v="0.72727272727272729"/>
  </r>
  <r>
    <x v="63"/>
    <n v="0.65734639061744049"/>
    <n v="34940"/>
    <s v="LOUISE S. MCINNIS ELEMENTARY SCHOOL"/>
    <m/>
    <m/>
    <n v="340"/>
    <n v="374"/>
    <m/>
    <m/>
    <n v="340"/>
    <n v="0.90909090909090906"/>
  </r>
  <r>
    <x v="63"/>
    <n v="0.65734639061744049"/>
    <n v="34905"/>
    <s v="MAINLAND HIGH SCHOOL"/>
    <m/>
    <m/>
    <n v="1349"/>
    <n v="1978"/>
    <m/>
    <m/>
    <n v="1349"/>
    <n v="0.68200202224469164"/>
  </r>
  <r>
    <x v="63"/>
    <n v="0.65734639061744049"/>
    <n v="16033729"/>
    <s v="MANATEE COVE ELEMENTARY SCHOOL"/>
    <m/>
    <m/>
    <n v="538"/>
    <n v="745"/>
    <m/>
    <m/>
    <n v="538"/>
    <n v="0.72214765100671141"/>
  </r>
  <r>
    <x v="63"/>
    <n v="0.65734639061744049"/>
    <n v="34964"/>
    <s v="NEW SMYRNA BEACH HIGH SCHOOL"/>
    <m/>
    <m/>
    <n v="1008"/>
    <n v="1974"/>
    <m/>
    <m/>
    <n v="1008"/>
    <n v="0.51063829787234039"/>
  </r>
  <r>
    <x v="63"/>
    <n v="0.65734639061744049"/>
    <n v="34960"/>
    <s v="NEW SMYRNA BEACH MIDDLE SCHOOL"/>
    <m/>
    <m/>
    <n v="710"/>
    <n v="1153"/>
    <m/>
    <m/>
    <n v="710"/>
    <n v="0.61578490893321769"/>
  </r>
  <r>
    <x v="63"/>
    <n v="0.65734639061744049"/>
    <n v="35904"/>
    <s v="ORANGE CITY ELEMENTARY SCHOOL"/>
    <m/>
    <m/>
    <n v="488"/>
    <n v="581"/>
    <m/>
    <m/>
    <n v="488"/>
    <n v="0.83993115318416522"/>
  </r>
  <r>
    <x v="63"/>
    <n v="0.65734639061744049"/>
    <n v="34971"/>
    <s v="ORMOND BEACH ELEMENTARY SCHOOL"/>
    <m/>
    <m/>
    <n v="228"/>
    <n v="300"/>
    <m/>
    <m/>
    <n v="228"/>
    <n v="0.76"/>
  </r>
  <r>
    <x v="63"/>
    <n v="0.65734639061744049"/>
    <n v="34968"/>
    <s v="ORMOND BEACH MIDDLE SCHOOL"/>
    <m/>
    <m/>
    <n v="543"/>
    <n v="1006"/>
    <m/>
    <m/>
    <n v="543"/>
    <n v="0.53976143141153077"/>
  </r>
  <r>
    <x v="63"/>
    <n v="0.65734639061744049"/>
    <n v="34919"/>
    <s v="ORTONA ELEMENTARY SCHOOL"/>
    <m/>
    <m/>
    <n v="189"/>
    <n v="254"/>
    <m/>
    <m/>
    <n v="189"/>
    <n v="0.74409448818897639"/>
  </r>
  <r>
    <x v="63"/>
    <n v="0.65734639061744049"/>
    <n v="34975"/>
    <s v="OSCEOLA ELEMENTARY SCHOOL"/>
    <m/>
    <m/>
    <n v="310"/>
    <n v="430"/>
    <m/>
    <m/>
    <n v="310"/>
    <n v="0.72093023255813948"/>
  </r>
  <r>
    <x v="63"/>
    <n v="0.65734639061744049"/>
    <n v="35906"/>
    <s v="OSTEEN ELEMENTARY SCHOOL"/>
    <m/>
    <m/>
    <n v="388"/>
    <n v="517"/>
    <m/>
    <m/>
    <n v="388"/>
    <n v="0.75048355899419728"/>
  </r>
  <r>
    <x v="63"/>
    <n v="0.65734639061744049"/>
    <n v="34901"/>
    <s v="PALM TERRACE ELEMENTARY SCHOOL"/>
    <m/>
    <m/>
    <n v="663"/>
    <n v="715"/>
    <m/>
    <m/>
    <n v="663"/>
    <n v="0.92727272727272725"/>
  </r>
  <r>
    <x v="63"/>
    <n v="0.65734639061744049"/>
    <n v="34966"/>
    <s v="PATHWAYS ELEMENTARY SCHOOL"/>
    <m/>
    <m/>
    <n v="319"/>
    <n v="724"/>
    <m/>
    <m/>
    <n v="319"/>
    <n v="0.44060773480662985"/>
  </r>
  <r>
    <x v="63"/>
    <n v="0.65734639061744049"/>
    <n v="34987"/>
    <s v="PIERSON ELEMENTARY SCHOOL"/>
    <m/>
    <m/>
    <n v="501"/>
    <n v="577"/>
    <m/>
    <m/>
    <n v="501"/>
    <n v="0.8682842287694974"/>
  </r>
  <r>
    <x v="63"/>
    <n v="0.65734639061744049"/>
    <n v="35866"/>
    <s v="PINE RIDGE HIGH SCHOOL"/>
    <m/>
    <m/>
    <n v="1144"/>
    <n v="1733"/>
    <m/>
    <m/>
    <n v="1144"/>
    <n v="0.66012694748990186"/>
  </r>
  <r>
    <x v="63"/>
    <n v="0.65734639061744049"/>
    <n v="34967"/>
    <s v="PINE TRAIL ELEMENTARY SCHOOL"/>
    <m/>
    <m/>
    <n v="364"/>
    <n v="703"/>
    <m/>
    <m/>
    <n v="364"/>
    <n v="0.51778093883357046"/>
  </r>
  <r>
    <x v="63"/>
    <n v="0.65734639061744049"/>
    <n v="34936"/>
    <s v="PORT ORANGE ELEMENTARY SCHOOL"/>
    <m/>
    <m/>
    <n v="285"/>
    <n v="417"/>
    <m/>
    <m/>
    <n v="285"/>
    <n v="0.68345323741007191"/>
  </r>
  <r>
    <x v="63"/>
    <n v="0.65734639061744049"/>
    <n v="16041806"/>
    <s v="PRIDE ELEMENTARY SCHOOL"/>
    <m/>
    <m/>
    <n v="459"/>
    <n v="574"/>
    <m/>
    <m/>
    <n v="459"/>
    <n v="0.79965156794425085"/>
  </r>
  <r>
    <x v="63"/>
    <n v="0.65734639061744049"/>
    <n v="34922"/>
    <s v="R. J. LONGSTREET ELEMENTARY SCHOOL"/>
    <m/>
    <m/>
    <n v="310"/>
    <n v="443"/>
    <m/>
    <m/>
    <n v="310"/>
    <n v="0.69977426636568851"/>
  </r>
  <r>
    <x v="63"/>
    <n v="0.65734639061744049"/>
    <n v="34961"/>
    <s v="READ-PATTILLO ELEMENTARY SCHOOL"/>
    <m/>
    <m/>
    <n v="346"/>
    <n v="456"/>
    <m/>
    <m/>
    <n v="346"/>
    <n v="0.75877192982456143"/>
  </r>
  <r>
    <x v="63"/>
    <n v="0.65734639061744049"/>
    <n v="16047298"/>
    <s v="RIVER SPRINGS MIDDLE SCHOOL"/>
    <m/>
    <m/>
    <n v="814"/>
    <n v="1324"/>
    <m/>
    <m/>
    <n v="814"/>
    <n v="0.61480362537764355"/>
  </r>
  <r>
    <x v="63"/>
    <n v="0.65734639061744049"/>
    <n v="34920"/>
    <s v="RIVERVIEW LEARNING CENTER/ALTERNATIVE ED"/>
    <m/>
    <m/>
    <n v="16"/>
    <n v="21"/>
    <m/>
    <m/>
    <n v="16"/>
    <n v="0.76190476190476186"/>
  </r>
  <r>
    <x v="63"/>
    <n v="0.65734639061744049"/>
    <n v="127575"/>
    <s v="SCHOOL DISTRICT OF VOLUSIA COUNTY"/>
    <m/>
    <m/>
    <m/>
    <s v="0"/>
    <m/>
    <m/>
    <n v="0"/>
    <n v="0"/>
  </r>
  <r>
    <x v="63"/>
    <n v="0.65734639061744049"/>
    <n v="34917"/>
    <s v="SEABREEZE HIGH SCHOOL"/>
    <m/>
    <m/>
    <n v="699"/>
    <n v="1648"/>
    <m/>
    <m/>
    <n v="699"/>
    <n v="0.42415048543689321"/>
  </r>
  <r>
    <x v="63"/>
    <n v="0.65734639061744049"/>
    <n v="34927"/>
    <s v="SILVER SANDS MIDDLE SCHOOL"/>
    <m/>
    <m/>
    <n v="691"/>
    <n v="1170"/>
    <m/>
    <m/>
    <n v="691"/>
    <n v="0.59059829059829061"/>
  </r>
  <r>
    <x v="63"/>
    <n v="0.65734639061744049"/>
    <n v="34925"/>
    <s v="SOUTH DAYTONA ELEMENTARY SCHOOL"/>
    <m/>
    <m/>
    <n v="655"/>
    <n v="819"/>
    <m/>
    <m/>
    <n v="655"/>
    <n v="0.7997557997557998"/>
  </r>
  <r>
    <x v="63"/>
    <n v="0.65734639061744049"/>
    <n v="35836"/>
    <s v="SOUTHWESTERN MIDDLE SCHOOL"/>
    <m/>
    <m/>
    <n v="530"/>
    <n v="733"/>
    <m/>
    <m/>
    <n v="530"/>
    <n v="0.72305593451568895"/>
  </r>
  <r>
    <x v="63"/>
    <n v="0.65734639061744049"/>
    <n v="14878793"/>
    <s v="SPIRIT ELEMENTARY SCHOOL"/>
    <m/>
    <m/>
    <n v="592"/>
    <n v="753"/>
    <m/>
    <m/>
    <n v="592"/>
    <n v="0.78618857901726424"/>
  </r>
  <r>
    <x v="63"/>
    <n v="0.65734639061744049"/>
    <n v="34937"/>
    <s v="SPRUCE CREEK ELEMENTARY SCHOOL"/>
    <m/>
    <m/>
    <n v="468"/>
    <n v="760"/>
    <m/>
    <m/>
    <n v="468"/>
    <n v="0.61578947368421055"/>
  </r>
  <r>
    <x v="63"/>
    <n v="0.65734639061744049"/>
    <n v="34938"/>
    <s v="SPRUCE CREEK HIGH SCHOOL"/>
    <m/>
    <m/>
    <n v="987"/>
    <n v="2691"/>
    <m/>
    <m/>
    <n v="987"/>
    <n v="0.36677814938684505"/>
  </r>
  <r>
    <x v="63"/>
    <n v="0.65734639061744049"/>
    <n v="34926"/>
    <s v="SUGAR MILL ELEMENTARY SCHOOL"/>
    <m/>
    <m/>
    <n v="480"/>
    <n v="661"/>
    <m/>
    <m/>
    <n v="480"/>
    <n v="0.72617246596066565"/>
  </r>
  <r>
    <x v="63"/>
    <n v="0.65734639061744049"/>
    <n v="35867"/>
    <s v="SUNRISE ELEMENTARY SCHOOL"/>
    <m/>
    <m/>
    <n v="438"/>
    <n v="546"/>
    <m/>
    <m/>
    <n v="438"/>
    <n v="0.80219780219780223"/>
  </r>
  <r>
    <x v="63"/>
    <n v="0.65734639061744049"/>
    <n v="34939"/>
    <s v="SWEETWATER ELEMENTARY SCHOOL"/>
    <m/>
    <m/>
    <n v="267"/>
    <n v="641"/>
    <m/>
    <m/>
    <n v="267"/>
    <n v="0.41653666146645868"/>
  </r>
  <r>
    <x v="63"/>
    <n v="0.65734639061744049"/>
    <n v="34988"/>
    <s v="T. DEWITT TAYLOR MIDDLE-HIGH SCHOOL"/>
    <m/>
    <m/>
    <n v="889"/>
    <n v="1123"/>
    <m/>
    <m/>
    <n v="889"/>
    <n v="0.79162956366874448"/>
  </r>
  <r>
    <x v="63"/>
    <n v="0.65734639061744049"/>
    <n v="35843"/>
    <s v="TIMBERCREST ELEMENTARY SCHOOL"/>
    <m/>
    <m/>
    <n v="526"/>
    <n v="752"/>
    <m/>
    <m/>
    <n v="526"/>
    <n v="0.69946808510638303"/>
  </r>
  <r>
    <x v="63"/>
    <n v="0.65734639061744049"/>
    <n v="34970"/>
    <s v="TOMOKA ELEMENTARY SCHOOL"/>
    <m/>
    <m/>
    <n v="388"/>
    <n v="735"/>
    <m/>
    <m/>
    <n v="388"/>
    <n v="0.527891156462585"/>
  </r>
  <r>
    <x v="63"/>
    <n v="0.65734639061744049"/>
    <n v="16020220"/>
    <s v="TRANSPORTATION - DAYTONA"/>
    <m/>
    <m/>
    <m/>
    <s v="0"/>
    <m/>
    <m/>
    <n v="0"/>
    <n v="0"/>
  </r>
  <r>
    <x v="63"/>
    <n v="0.65734639061744049"/>
    <n v="16020221"/>
    <s v="TRANSPORTATION - DELAND"/>
    <m/>
    <m/>
    <m/>
    <s v="0"/>
    <m/>
    <m/>
    <n v="0"/>
    <n v="0"/>
  </r>
  <r>
    <x v="63"/>
    <n v="0.65734639061744049"/>
    <n v="16020222"/>
    <s v="TRANSPORTATION - DELTONA"/>
    <m/>
    <m/>
    <m/>
    <s v="0"/>
    <m/>
    <m/>
    <n v="0"/>
    <n v="0"/>
  </r>
  <r>
    <x v="63"/>
    <n v="0.65734639061744049"/>
    <n v="16020223"/>
    <s v="TRANSPORTATION - NEW SMYRNA BEACH"/>
    <m/>
    <m/>
    <m/>
    <s v="0"/>
    <m/>
    <m/>
    <n v="0"/>
    <n v="0"/>
  </r>
  <r>
    <x v="63"/>
    <n v="0.65734639061744049"/>
    <n v="16020224"/>
    <s v="TRANSPORTATION - ORMOND BEACH"/>
    <m/>
    <m/>
    <m/>
    <s v="0"/>
    <m/>
    <m/>
    <n v="0"/>
    <n v="0"/>
  </r>
  <r>
    <x v="63"/>
    <n v="0.65734639061744049"/>
    <n v="16020225"/>
    <s v="TRANSPORTATION - PIERSON"/>
    <m/>
    <m/>
    <m/>
    <s v="0"/>
    <m/>
    <m/>
    <n v="0"/>
    <n v="0"/>
  </r>
  <r>
    <x v="63"/>
    <n v="0.65734639061744049"/>
    <n v="34907"/>
    <s v="TURIE T. SMALL ELEMENTARY SCHOOL"/>
    <m/>
    <m/>
    <n v="460"/>
    <n v="475"/>
    <m/>
    <m/>
    <n v="460"/>
    <n v="0.96842105263157896"/>
  </r>
  <r>
    <x v="63"/>
    <n v="0.65734639061744049"/>
    <n v="16059275"/>
    <s v="UNIVERSITY HIGH SCHOOL"/>
    <m/>
    <m/>
    <n v="1684"/>
    <n v="2850"/>
    <m/>
    <m/>
    <n v="1684"/>
    <n v="0.59087719298245611"/>
  </r>
  <r>
    <x v="63"/>
    <n v="0.65734639061744049"/>
    <n v="127575"/>
    <s v="VOLUSIA DISTRICT OFFICE"/>
    <m/>
    <m/>
    <m/>
    <s v="0"/>
    <m/>
    <m/>
    <n v="0"/>
    <n v="0"/>
  </r>
  <r>
    <x v="63"/>
    <n v="0.65734639061744049"/>
    <n v="35868"/>
    <s v="VOLUSIA PINES ELEMENTARY SCHOOL"/>
    <m/>
    <m/>
    <n v="476"/>
    <n v="601"/>
    <m/>
    <m/>
    <n v="476"/>
    <n v="0.79201331114808649"/>
  </r>
  <r>
    <x v="63"/>
    <n v="0.65734639061744049"/>
    <n v="16065850"/>
    <s v="WALTER A. HURST"/>
    <m/>
    <m/>
    <m/>
    <s v="0"/>
    <m/>
    <m/>
    <n v="0"/>
    <n v="0"/>
  </r>
  <r>
    <x v="63"/>
    <n v="0.65734639061744049"/>
    <n v="34916"/>
    <s v="WESTSIDE ELEMENTARY SCHOOL"/>
    <m/>
    <m/>
    <n v="598"/>
    <n v="624"/>
    <m/>
    <m/>
    <n v="598"/>
    <n v="0.95833333333333337"/>
  </r>
  <r>
    <x v="63"/>
    <n v="0.65734639061744049"/>
    <n v="35833"/>
    <s v="WOODWARD AVENUE ELEMENTARY SCHOOL"/>
    <m/>
    <m/>
    <n v="507"/>
    <n v="677"/>
    <m/>
    <m/>
    <n v="507"/>
    <n v="0.74889217134416541"/>
  </r>
  <r>
    <x v="64"/>
    <n v="0.66779170684667311"/>
    <n v="35324"/>
    <s v="MEDART ELEMENTARY SCHOOL"/>
    <m/>
    <m/>
    <m/>
    <n v="481"/>
    <n v="2015"/>
    <n v="49.4"/>
    <n v="481"/>
    <n v="1"/>
  </r>
  <r>
    <x v="64"/>
    <n v="0.66779170684667311"/>
    <n v="16048110"/>
    <s v="RIVERSINK ELEMENTARY SCHOOL"/>
    <m/>
    <m/>
    <m/>
    <n v="450"/>
    <n v="2015"/>
    <n v="49.4"/>
    <n v="450"/>
    <n v="1"/>
  </r>
  <r>
    <x v="64"/>
    <n v="0.66779170684667311"/>
    <n v="227639"/>
    <s v="RIVERSPRINGS MIDDLE SCHOOL"/>
    <m/>
    <m/>
    <n v="230"/>
    <n v="499"/>
    <m/>
    <m/>
    <n v="230"/>
    <n v="0.46092184368737477"/>
  </r>
  <r>
    <x v="64"/>
    <n v="0.66779170684667311"/>
    <m/>
    <s v="SECOND CHANCE SCHOOL-SOPCHOPPY EDUCATION CENTER"/>
    <m/>
    <m/>
    <m/>
    <n v="32"/>
    <n v="2015"/>
    <n v="49.4"/>
    <n v="32"/>
    <n v="1"/>
  </r>
  <r>
    <x v="64"/>
    <n v="0.66779170684667311"/>
    <n v="35320"/>
    <s v="SHADEVILLE ELEMENTARY SCHOOL"/>
    <m/>
    <m/>
    <m/>
    <n v="573"/>
    <n v="2015"/>
    <n v="49.4"/>
    <n v="573"/>
    <n v="1"/>
  </r>
  <r>
    <x v="64"/>
    <n v="0.66779170684667311"/>
    <m/>
    <s v="WAKULLA COUNTY PRE K PROGRAM"/>
    <m/>
    <m/>
    <n v="30"/>
    <n v="58"/>
    <m/>
    <m/>
    <n v="30"/>
    <n v="0.51724137931034486"/>
  </r>
  <r>
    <x v="64"/>
    <n v="0.66779170684667311"/>
    <n v="16084366"/>
    <s v="WAKULLA DISTRICT OFFICE"/>
    <m/>
    <m/>
    <m/>
    <s v="0"/>
    <m/>
    <m/>
    <n v="0"/>
    <n v="0"/>
  </r>
  <r>
    <x v="64"/>
    <n v="0.66779170684667311"/>
    <n v="35323"/>
    <s v="WAKULLA HIGH SCHOOL"/>
    <m/>
    <m/>
    <n v="641"/>
    <n v="1443"/>
    <m/>
    <m/>
    <n v="641"/>
    <n v="0.44421344421344422"/>
  </r>
  <r>
    <x v="64"/>
    <n v="0.66779170684667311"/>
    <n v="35322"/>
    <s v="WAKULLA MIDDLE SCHOOL"/>
    <m/>
    <m/>
    <n v="333"/>
    <n v="612"/>
    <m/>
    <m/>
    <n v="333"/>
    <n v="0.54411764705882348"/>
  </r>
  <r>
    <x v="65"/>
    <n v="0.56067047248876478"/>
    <n v="35469"/>
    <s v="BAY ELEMENTARY SCHOOL"/>
    <m/>
    <m/>
    <n v="100"/>
    <n v="367"/>
    <m/>
    <m/>
    <n v="100"/>
    <n v="0.27247956403269757"/>
  </r>
  <r>
    <x v="65"/>
    <n v="0.56067047248876478"/>
    <n v="16038541"/>
    <s v="EMERALD COAST MIDDLE SCHOOL"/>
    <m/>
    <m/>
    <n v="290"/>
    <n v="854"/>
    <m/>
    <m/>
    <n v="290"/>
    <n v="0.33957845433255268"/>
  </r>
  <r>
    <x v="65"/>
    <n v="0.56067047248876478"/>
    <n v="35438"/>
    <s v="FREEPORT ELEMENTARY SCHOOL"/>
    <m/>
    <m/>
    <n v="420"/>
    <n v="633"/>
    <m/>
    <m/>
    <n v="420"/>
    <n v="0.6635071090047393"/>
  </r>
  <r>
    <x v="65"/>
    <n v="0.56067047248876478"/>
    <n v="205726"/>
    <s v="FREEPORT MIDDLE SCHOOL"/>
    <m/>
    <m/>
    <n v="304"/>
    <n v="444"/>
    <m/>
    <m/>
    <n v="304"/>
    <n v="0.68468468468468469"/>
  </r>
  <r>
    <x v="65"/>
    <n v="0.56067047248876478"/>
    <n v="35436"/>
    <s v="FREEPORT SENIOR HIGH SCHOOL"/>
    <m/>
    <m/>
    <n v="223"/>
    <n v="397"/>
    <m/>
    <m/>
    <n v="223"/>
    <n v="0.5617128463476071"/>
  </r>
  <r>
    <x v="65"/>
    <n v="0.56067047248876478"/>
    <n v="35433"/>
    <s v="MAUDE SAUNDERS ELEMENTARY SCHOOL"/>
    <m/>
    <m/>
    <n v="592"/>
    <n v="674"/>
    <m/>
    <m/>
    <n v="592"/>
    <n v="0.87833827893175076"/>
  </r>
  <r>
    <x v="65"/>
    <n v="0.56067047248876478"/>
    <n v="16044890"/>
    <s v="MOSSY HEAD SCHOOL"/>
    <m/>
    <m/>
    <n v="283"/>
    <n v="346"/>
    <m/>
    <m/>
    <n v="283"/>
    <n v="0.81791907514450868"/>
  </r>
  <r>
    <x v="65"/>
    <n v="0.56067047248876478"/>
    <n v="35580"/>
    <s v="PAXTON SCHOOL"/>
    <m/>
    <m/>
    <n v="457"/>
    <n v="778"/>
    <m/>
    <m/>
    <n v="457"/>
    <n v="0.58740359897172234"/>
  </r>
  <r>
    <x v="65"/>
    <n v="0.56067047248876478"/>
    <n v="222037"/>
    <s v="SOUTH WALTON HIGH SCHOOL"/>
    <m/>
    <m/>
    <n v="204"/>
    <n v="670"/>
    <m/>
    <m/>
    <n v="204"/>
    <n v="0.30447761194029849"/>
  </r>
  <r>
    <x v="65"/>
    <n v="0.56067047248876478"/>
    <n v="174086"/>
    <s v="VAN R. BUTLER ELEMENTARY SCHOOL"/>
    <m/>
    <m/>
    <n v="303"/>
    <n v="1003"/>
    <m/>
    <m/>
    <n v="303"/>
    <n v="0.30209371884346958"/>
  </r>
  <r>
    <x v="65"/>
    <n v="0.56067047248876478"/>
    <n v="35431"/>
    <s v="WALTON CAREER DEVELOPMENT CENTER - Name Changed to Emerald Coast Technical College"/>
    <m/>
    <m/>
    <m/>
    <s v="*"/>
    <m/>
    <m/>
    <n v="0"/>
    <n v="0"/>
  </r>
  <r>
    <x v="65"/>
    <n v="0.56067047248876478"/>
    <n v="35434"/>
    <s v="WALTON HIGH SCHOOL"/>
    <m/>
    <m/>
    <n v="490"/>
    <n v="767"/>
    <m/>
    <m/>
    <n v="490"/>
    <n v="0.63885267275097779"/>
  </r>
  <r>
    <x v="65"/>
    <n v="0.56067047248876478"/>
    <n v="35430"/>
    <s v="WALTON MIDDLE SCHOOL"/>
    <m/>
    <m/>
    <n v="469"/>
    <n v="631"/>
    <m/>
    <m/>
    <n v="469"/>
    <n v="0.74326465927099838"/>
  </r>
  <r>
    <x v="65"/>
    <n v="0.56067047248876478"/>
    <n v="35432"/>
    <s v="WEST DEFUNIAK ELEMENTARY SCHOOL"/>
    <m/>
    <m/>
    <n v="481"/>
    <n v="669"/>
    <m/>
    <m/>
    <n v="481"/>
    <n v="0.71898355754858001"/>
  </r>
  <r>
    <x v="66"/>
    <n v="0.72941176470588232"/>
    <n v="35423"/>
    <s v="CHIPLEY HIGH SCHOOL"/>
    <m/>
    <m/>
    <n v="290"/>
    <n v="554"/>
    <m/>
    <m/>
    <n v="290"/>
    <n v="0.52346570397111913"/>
  </r>
  <r>
    <x v="66"/>
    <n v="0.72941176470588232"/>
    <n v="35426"/>
    <s v="KATE M. SMITH ELEMENTARY SCHOOL"/>
    <m/>
    <m/>
    <n v="516"/>
    <n v="764"/>
    <m/>
    <m/>
    <n v="516"/>
    <n v="0.67539267015706805"/>
  </r>
  <r>
    <x v="66"/>
    <n v="0.72941176470588232"/>
    <n v="228467"/>
    <s v="OKEECHOBEE YOUTH DEVELOPMENT CENTER"/>
    <m/>
    <m/>
    <n v="124"/>
    <n v="124"/>
    <m/>
    <m/>
    <n v="124"/>
    <n v="1"/>
  </r>
  <r>
    <x v="66"/>
    <n v="0.72941176470588232"/>
    <n v="35424"/>
    <s v="ROULHAC MIDDLE SCHOOL"/>
    <m/>
    <m/>
    <n v="368"/>
    <n v="569"/>
    <m/>
    <m/>
    <n v="368"/>
    <n v="0.64674868189806678"/>
  </r>
  <r>
    <x v="66"/>
    <n v="0.72941176470588232"/>
    <n v="35474"/>
    <s v="VERNON ELEMENTARY SCHOOL"/>
    <m/>
    <m/>
    <n v="548"/>
    <n v="644"/>
    <m/>
    <m/>
    <n v="548"/>
    <n v="0.85093167701863359"/>
  </r>
  <r>
    <x v="66"/>
    <n v="0.72941176470588232"/>
    <n v="35475"/>
    <s v="VERNON HIGH SCHOOL"/>
    <m/>
    <m/>
    <n v="275"/>
    <n v="403"/>
    <m/>
    <m/>
    <n v="275"/>
    <n v="0.68238213399503722"/>
  </r>
  <r>
    <x v="66"/>
    <n v="0.72941176470588232"/>
    <n v="35473"/>
    <s v="VERNON MIDDLE SCHOOL"/>
    <m/>
    <m/>
    <n v="238"/>
    <n v="299"/>
    <m/>
    <m/>
    <n v="238"/>
    <n v="0.79598662207357862"/>
  </r>
  <r>
    <x v="66"/>
    <n v="0.72941176470588232"/>
    <n v="16047719"/>
    <s v="WASHINGTON DISTRICT OFFICE"/>
    <m/>
    <m/>
    <m/>
    <s v="0"/>
    <m/>
    <m/>
    <n v="0"/>
    <n v="0"/>
  </r>
  <r>
    <x v="66"/>
    <n v="0.72941176470588232"/>
    <n v="16063397"/>
    <s v="WASHINGTON INSTITUTE FOR SPECIALIZED EDUCATION"/>
    <m/>
    <m/>
    <n v="51"/>
    <n v="57"/>
    <m/>
    <m/>
    <n v="51"/>
    <n v="0.89473684210526316"/>
  </r>
  <r>
    <x v="66"/>
    <n v="0.72941176470588232"/>
    <n v="35425"/>
    <s v="WASHINGTON-HOLMES TECHNICAL CENTER"/>
    <m/>
    <m/>
    <n v="132"/>
    <n v="71"/>
    <m/>
    <m/>
    <n v="132"/>
    <n v="1.8591549295774648"/>
  </r>
  <r>
    <x v="66"/>
    <n v="0.72941176470588232"/>
    <n v="16072124"/>
    <s v="VERNON BUS BARN"/>
    <m/>
    <m/>
    <m/>
    <s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istrict Summary" cacheId="13" applyNumberFormats="0" applyBorderFormats="0" applyFontFormats="0" applyPatternFormats="0" applyAlignmentFormats="0" applyWidthHeightFormats="1" dataCaption="Values" updatedVersion="5" minRefreshableVersion="3" showDrill="0" useAutoFormatting="1" rowGrandTotals="0" itemPrintTitles="1" createdVersion="4" indent="0" compact="0" compactData="0" gridDropZones="1" multipleFieldFilters="0">
  <location ref="C3:D71" firstHeaderRow="2" firstDataRow="2" firstDataCol="1"/>
  <pivotFields count="12">
    <pivotField axis="axisRow" compact="0" outline="0" showAll="0" sortType="ascending" defaultSubtotal="0">
      <items count="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dataField="1"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s>
  <rowFields count="1">
    <field x="0"/>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rowItems>
  <colItems count="1">
    <i/>
  </colItems>
  <dataFields count="1">
    <dataField name="." fld="1" subtotal="min" baseField="0" baseItem="0" numFmtId="10"/>
  </dataFields>
  <formats count="22">
    <format dxfId="53">
      <pivotArea outline="0" collapsedLevelsAreSubtotals="1" fieldPosition="0">
        <references count="1">
          <reference field="4294967294" count="1" selected="0">
            <x v="0"/>
          </reference>
        </references>
      </pivotArea>
    </format>
    <format dxfId="52">
      <pivotArea dataOnly="0" labelOnly="1" outline="0" fieldPosition="0">
        <references count="1">
          <reference field="4294967294" count="1">
            <x v="0"/>
          </reference>
        </references>
      </pivotArea>
    </format>
    <format dxfId="51">
      <pivotArea field="0" type="button" dataOnly="0" labelOnly="1" outline="0" axis="axisRow" fieldPosition="0"/>
    </format>
    <format dxfId="50">
      <pivotArea dataOnly="0" labelOnly="1" outline="0" fieldPosition="0">
        <references count="1">
          <reference field="4294967294" count="1">
            <x v="0"/>
          </reference>
        </references>
      </pivotArea>
    </format>
    <format dxfId="49">
      <pivotArea dataOnly="0" labelOnly="1" grandRow="1" outline="0" fieldPosition="0"/>
    </format>
    <format dxfId="48">
      <pivotArea outline="0" collapsedLevelsAreSubtotals="1" fieldPosition="0"/>
    </format>
    <format dxfId="47">
      <pivotArea dataOnly="0" labelOnly="1" outline="0" fieldPosition="0">
        <references count="1">
          <reference field="0" count="50">
            <x v="0"/>
            <x v="1"/>
            <x v="2"/>
            <x v="3"/>
            <x v="4"/>
            <x v="5"/>
            <x v="6"/>
            <x v="7"/>
            <x v="8"/>
            <x v="9"/>
            <x v="10"/>
            <x v="11"/>
            <x v="12"/>
            <x v="13"/>
            <x v="14"/>
            <x v="15"/>
            <x v="16"/>
            <x v="17"/>
            <x v="18"/>
            <x v="19"/>
            <x v="20"/>
            <x v="21"/>
            <x v="22"/>
            <x v="23"/>
            <x v="24"/>
            <x v="25"/>
            <x v="26"/>
            <x v="27"/>
            <x v="29"/>
            <x v="31"/>
            <x v="32"/>
            <x v="33"/>
            <x v="34"/>
            <x v="35"/>
            <x v="36"/>
            <x v="37"/>
            <x v="38"/>
            <x v="39"/>
            <x v="40"/>
            <x v="41"/>
            <x v="42"/>
            <x v="43"/>
            <x v="44"/>
            <x v="45"/>
            <x v="46"/>
            <x v="47"/>
            <x v="48"/>
            <x v="49"/>
            <x v="50"/>
            <x v="51"/>
          </reference>
        </references>
      </pivotArea>
    </format>
    <format dxfId="46">
      <pivotArea dataOnly="0" labelOnly="1" outline="0" fieldPosition="0">
        <references count="1">
          <reference field="0" count="15">
            <x v="52"/>
            <x v="53"/>
            <x v="54"/>
            <x v="55"/>
            <x v="56"/>
            <x v="57"/>
            <x v="58"/>
            <x v="59"/>
            <x v="60"/>
            <x v="61"/>
            <x v="62"/>
            <x v="63"/>
            <x v="64"/>
            <x v="65"/>
            <x v="66"/>
          </reference>
        </references>
      </pivotArea>
    </format>
    <format dxfId="45">
      <pivotArea dataOnly="0" labelOnly="1" outline="0" fieldPosition="0">
        <references count="1">
          <reference field="0" count="50">
            <x v="0"/>
            <x v="1"/>
            <x v="2"/>
            <x v="3"/>
            <x v="4"/>
            <x v="5"/>
            <x v="6"/>
            <x v="7"/>
            <x v="8"/>
            <x v="9"/>
            <x v="10"/>
            <x v="11"/>
            <x v="12"/>
            <x v="13"/>
            <x v="14"/>
            <x v="15"/>
            <x v="16"/>
            <x v="17"/>
            <x v="18"/>
            <x v="19"/>
            <x v="20"/>
            <x v="21"/>
            <x v="22"/>
            <x v="23"/>
            <x v="24"/>
            <x v="25"/>
            <x v="26"/>
            <x v="27"/>
            <x v="29"/>
            <x v="31"/>
            <x v="32"/>
            <x v="33"/>
            <x v="34"/>
            <x v="35"/>
            <x v="36"/>
            <x v="37"/>
            <x v="38"/>
            <x v="39"/>
            <x v="40"/>
            <x v="41"/>
            <x v="42"/>
            <x v="43"/>
            <x v="44"/>
            <x v="45"/>
            <x v="46"/>
            <x v="47"/>
            <x v="48"/>
            <x v="49"/>
            <x v="50"/>
            <x v="51"/>
          </reference>
        </references>
      </pivotArea>
    </format>
    <format dxfId="44">
      <pivotArea dataOnly="0" labelOnly="1" outline="0" fieldPosition="0">
        <references count="1">
          <reference field="0" count="15">
            <x v="52"/>
            <x v="53"/>
            <x v="54"/>
            <x v="55"/>
            <x v="56"/>
            <x v="57"/>
            <x v="58"/>
            <x v="59"/>
            <x v="60"/>
            <x v="61"/>
            <x v="62"/>
            <x v="63"/>
            <x v="64"/>
            <x v="65"/>
            <x v="66"/>
          </reference>
        </references>
      </pivotArea>
    </format>
    <format dxfId="43">
      <pivotArea field="0" type="button" dataOnly="0" labelOnly="1" outline="0" axis="axisRow" fieldPosition="0"/>
    </format>
    <format dxfId="42">
      <pivotArea field="0" type="button" dataOnly="0" labelOnly="1" outline="0" axis="axisRow" fieldPosition="0"/>
    </format>
    <format dxfId="41">
      <pivotArea outline="0" collapsedLevelsAreSubtotals="1" fieldPosition="0"/>
    </format>
    <format dxfId="40">
      <pivotArea dataOnly="0" labelOnly="1" outline="0" fieldPosition="0">
        <references count="1">
          <reference field="0" count="50">
            <x v="0"/>
            <x v="1"/>
            <x v="2"/>
            <x v="3"/>
            <x v="4"/>
            <x v="5"/>
            <x v="6"/>
            <x v="7"/>
            <x v="8"/>
            <x v="9"/>
            <x v="10"/>
            <x v="11"/>
            <x v="12"/>
            <x v="13"/>
            <x v="14"/>
            <x v="15"/>
            <x v="16"/>
            <x v="17"/>
            <x v="18"/>
            <x v="19"/>
            <x v="20"/>
            <x v="21"/>
            <x v="22"/>
            <x v="23"/>
            <x v="24"/>
            <x v="25"/>
            <x v="26"/>
            <x v="27"/>
            <x v="29"/>
            <x v="31"/>
            <x v="32"/>
            <x v="33"/>
            <x v="34"/>
            <x v="35"/>
            <x v="36"/>
            <x v="37"/>
            <x v="38"/>
            <x v="39"/>
            <x v="40"/>
            <x v="41"/>
            <x v="42"/>
            <x v="43"/>
            <x v="44"/>
            <x v="45"/>
            <x v="46"/>
            <x v="47"/>
            <x v="48"/>
            <x v="49"/>
            <x v="50"/>
            <x v="51"/>
          </reference>
        </references>
      </pivotArea>
    </format>
    <format dxfId="39">
      <pivotArea dataOnly="0" labelOnly="1" outline="0" fieldPosition="0">
        <references count="1">
          <reference field="0" count="15">
            <x v="52"/>
            <x v="53"/>
            <x v="54"/>
            <x v="55"/>
            <x v="56"/>
            <x v="57"/>
            <x v="58"/>
            <x v="59"/>
            <x v="60"/>
            <x v="61"/>
            <x v="62"/>
            <x v="63"/>
            <x v="64"/>
            <x v="65"/>
            <x v="66"/>
          </reference>
        </references>
      </pivotArea>
    </format>
    <format dxfId="38">
      <pivotArea type="origin" dataOnly="0" labelOnly="1" outline="0" offset="A1" fieldPosition="0"/>
    </format>
    <format dxfId="37">
      <pivotArea type="origin" dataOnly="0" labelOnly="1" outline="0" fieldPosition="0"/>
    </format>
    <format dxfId="28">
      <pivotArea dataOnly="0" labelOnly="1" outline="0" fieldPosition="0">
        <references count="1">
          <reference field="0" count="1">
            <x v="30"/>
          </reference>
        </references>
      </pivotArea>
    </format>
    <format dxfId="27">
      <pivotArea dataOnly="0" labelOnly="1" outline="0" fieldPosition="0">
        <references count="1">
          <reference field="0" count="1">
            <x v="30"/>
          </reference>
        </references>
      </pivotArea>
    </format>
    <format dxfId="26">
      <pivotArea dataOnly="0" labelOnly="1" outline="0" fieldPosition="0">
        <references count="1">
          <reference field="0" count="1">
            <x v="30"/>
          </reference>
        </references>
      </pivotArea>
    </format>
    <format dxfId="5">
      <pivotArea dataOnly="0" labelOnly="1" outline="0" fieldPosition="0">
        <references count="1">
          <reference field="0" count="1">
            <x v="28"/>
          </reference>
        </references>
      </pivotArea>
    </format>
    <format dxfId="4">
      <pivotArea dataOnly="0" labelOnly="1" outline="0" fieldPosition="0">
        <references count="1">
          <reference field="0" count="1">
            <x v="28"/>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B2:N3844" totalsRowShown="0" headerRowDxfId="70" dataDxfId="68" headerRowBorderDxfId="69" tableBorderDxfId="67" headerRowCellStyle="Normal_Sheet1">
  <autoFilter ref="B2:N3844"/>
  <sortState ref="B3:N3843">
    <sortCondition ref="C2:C3843"/>
  </sortState>
  <tableColumns count="13">
    <tableColumn id="1" name="District  Entity Number" dataDxfId="66"/>
    <tableColumn id="2" name="District Entity Name" dataDxfId="65"/>
    <tableColumn id="3" name="District NSLP % (Calculated)" dataDxfId="64" dataCellStyle="Percent">
      <calculatedColumnFormula>SUMIF(B$3:B$3902,B3,M$3:M$3902)/(SUMIF(B$3:B$3902,B3,J$3:J$3902))</calculatedColumnFormula>
    </tableColumn>
    <tableColumn id="4" name="School Entity  Number" dataDxfId="63"/>
    <tableColumn id="5" name="School Entity Name" dataDxfId="62"/>
    <tableColumn id="6" name="NCES Code" dataDxfId="61" dataCellStyle="Normal_Sheet1"/>
    <tableColumn id="7" name="Annex Name (DO NOT ENTER DATA IN COLUMNS I-N)" dataDxfId="60" dataCellStyle="Normal_Sheet1"/>
    <tableColumn id="8" name="Students Eligible for Free /Reduced Meals                               (NSLP Count)" dataDxfId="59"/>
    <tableColumn id="9" name="Total Students               Enrolled                              (* indicates a school with &lt;10 students)" dataDxfId="58"/>
    <tableColumn id="10" name="CEP Base                          Year" dataDxfId="57" dataCellStyle="Normal_Sheet1"/>
    <tableColumn id="11" name="Percentage of Directly Certified Students for CEP " dataDxfId="56" dataCellStyle="Percent"/>
    <tableColumn id="12" name="Total Students in School eligible for NSLP                                 (Calculated)" dataDxfId="55">
      <calculatedColumnFormula>IF(L3="",I3,(MIN(J3,(L3*1.6*J3))))</calculatedColumnFormula>
    </tableColumn>
    <tableColumn id="13" name="Percent Total NSLP            (Calculated)" dataDxfId="54">
      <calculatedColumnFormula>IF(M3=0,0,(M3/J3))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G4:K10" totalsRowShown="0" headerRowDxfId="36" headerRowBorderDxfId="35" tableBorderDxfId="34">
  <tableColumns count="5">
    <tableColumn id="1" name="Students Eligible for National School Lunch Program" dataDxfId="33"/>
    <tableColumn id="2" name="Category 1 Urban" dataDxfId="32"/>
    <tableColumn id="3" name="Category 1 Rural" dataDxfId="31"/>
    <tableColumn id="4" name="Category 2 Urban" dataDxfId="30"/>
    <tableColumn id="5" name="Category 2 Rural" dataDxfId="2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5"/>
  <sheetViews>
    <sheetView showGridLines="0" tabSelected="1" topLeftCell="C2" workbookViewId="0">
      <pane ySplit="1" topLeftCell="A3376" activePane="bottomLeft" state="frozen"/>
      <selection activeCell="A2" sqref="A2"/>
      <selection pane="bottomLeft" activeCell="F3428" sqref="F3428"/>
    </sheetView>
  </sheetViews>
  <sheetFormatPr defaultColWidth="8.85546875" defaultRowHeight="15.75" zeroHeight="1"/>
  <cols>
    <col min="1" max="1" width="5.140625" style="85" customWidth="1"/>
    <col min="2" max="2" width="15.7109375" style="8" customWidth="1"/>
    <col min="3" max="3" width="15.7109375" style="4" customWidth="1"/>
    <col min="4" max="4" width="18.85546875" style="4" customWidth="1"/>
    <col min="5" max="5" width="15.7109375" style="4" customWidth="1"/>
    <col min="6" max="6" width="46.85546875" style="17" customWidth="1"/>
    <col min="7" max="7" width="15.140625" style="4" hidden="1" customWidth="1"/>
    <col min="8" max="8" width="25" style="4" customWidth="1"/>
    <col min="9" max="9" width="25.85546875" style="4" customWidth="1"/>
    <col min="10" max="10" width="24.140625" style="4" customWidth="1"/>
    <col min="11" max="11" width="17.5703125" style="52" customWidth="1"/>
    <col min="12" max="12" width="21.5703125" style="52" customWidth="1"/>
    <col min="13" max="14" width="21.5703125" style="55" customWidth="1"/>
    <col min="15" max="16384" width="8.85546875" style="2"/>
  </cols>
  <sheetData>
    <row r="1" spans="2:14" hidden="1">
      <c r="B1" s="12"/>
      <c r="C1" s="56"/>
      <c r="D1" s="56"/>
      <c r="E1" s="56"/>
      <c r="F1" s="57"/>
      <c r="G1" s="56"/>
      <c r="H1" s="56"/>
      <c r="I1" s="56"/>
      <c r="J1" s="56"/>
      <c r="K1" s="56"/>
      <c r="L1" s="56"/>
      <c r="M1" s="56"/>
      <c r="N1" s="56"/>
    </row>
    <row r="2" spans="2:14" ht="90.75" customHeight="1" thickBot="1">
      <c r="B2" s="81" t="s">
        <v>1</v>
      </c>
      <c r="C2" s="58" t="s">
        <v>0</v>
      </c>
      <c r="D2" s="59" t="s">
        <v>2421</v>
      </c>
      <c r="E2" s="58" t="s">
        <v>2</v>
      </c>
      <c r="F2" s="60" t="s">
        <v>3</v>
      </c>
      <c r="G2" s="61" t="s">
        <v>4</v>
      </c>
      <c r="H2" s="60" t="s">
        <v>6</v>
      </c>
      <c r="I2" s="62" t="s">
        <v>2393</v>
      </c>
      <c r="J2" s="62" t="s">
        <v>2453</v>
      </c>
      <c r="K2" s="63" t="s">
        <v>2394</v>
      </c>
      <c r="L2" s="64" t="s">
        <v>5</v>
      </c>
      <c r="M2" s="65" t="s">
        <v>2419</v>
      </c>
      <c r="N2" s="66" t="s">
        <v>2420</v>
      </c>
    </row>
    <row r="3" spans="2:14">
      <c r="B3" s="73">
        <v>127655</v>
      </c>
      <c r="C3" s="23" t="s">
        <v>1642</v>
      </c>
      <c r="D3" s="109">
        <f>SUMIF(B$3:B$3844,B3,M$3:M$3844)/(SUMIF(B$3:B$3844,B3,J$3:J$3844))</f>
        <v>0.64099779280383984</v>
      </c>
      <c r="E3" s="23">
        <v>35710</v>
      </c>
      <c r="F3" s="46" t="s">
        <v>1643</v>
      </c>
      <c r="G3" s="23"/>
      <c r="H3" s="23"/>
      <c r="I3" s="41"/>
      <c r="J3" s="41">
        <v>383</v>
      </c>
      <c r="K3" s="20">
        <v>2015</v>
      </c>
      <c r="L3" s="21">
        <v>0.62509999999999999</v>
      </c>
      <c r="M3" s="110">
        <f>IF(L3="",I3,(MIN(J3,(L3*1.6*J3))))</f>
        <v>383</v>
      </c>
      <c r="N3" s="111">
        <f>IF(M3=0,0,(M3/J3))</f>
        <v>1</v>
      </c>
    </row>
    <row r="4" spans="2:14">
      <c r="B4" s="72">
        <v>127655</v>
      </c>
      <c r="C4" s="47" t="s">
        <v>1642</v>
      </c>
      <c r="D4" s="109">
        <f>SUMIF(B$3:B$3844,B4,M$3:M$3844)/(SUMIF(B$3:B$3844,B4,J$3:J$3844))</f>
        <v>0.64099779280383984</v>
      </c>
      <c r="E4" s="47">
        <v>35664</v>
      </c>
      <c r="F4" s="48" t="s">
        <v>1644</v>
      </c>
      <c r="G4" s="47"/>
      <c r="H4" s="47"/>
      <c r="I4" s="40"/>
      <c r="J4" s="40">
        <v>100</v>
      </c>
      <c r="K4" s="20">
        <v>2015</v>
      </c>
      <c r="L4" s="21">
        <v>0.62509999999999999</v>
      </c>
      <c r="M4" s="110">
        <f>IF(L4="",I4,(MIN(J4,(L4*1.6*J4))))</f>
        <v>100</v>
      </c>
      <c r="N4" s="111">
        <f>IF(M4=0,0,(M4/J4))</f>
        <v>1</v>
      </c>
    </row>
    <row r="5" spans="2:14">
      <c r="B5" s="73">
        <v>127655</v>
      </c>
      <c r="C5" s="23" t="s">
        <v>1642</v>
      </c>
      <c r="D5" s="109">
        <f>SUMIF(B$3:B$3844,B5,M$3:M$3844)/(SUMIF(B$3:B$3844,B5,J$3:J$3844))</f>
        <v>0.64099779280383984</v>
      </c>
      <c r="E5" s="23">
        <v>35749</v>
      </c>
      <c r="F5" s="46" t="s">
        <v>1645</v>
      </c>
      <c r="G5" s="23"/>
      <c r="H5" s="23"/>
      <c r="I5" s="41"/>
      <c r="J5" s="41">
        <v>723</v>
      </c>
      <c r="K5" s="20">
        <v>2015</v>
      </c>
      <c r="L5" s="21">
        <v>0.62509999999999999</v>
      </c>
      <c r="M5" s="110">
        <f>IF(L5="",I5,(MIN(J5,(L5*1.6*J5))))</f>
        <v>723</v>
      </c>
      <c r="N5" s="111">
        <f>IF(M5=0,0,(M5/J5))</f>
        <v>1</v>
      </c>
    </row>
    <row r="6" spans="2:14">
      <c r="B6" s="72">
        <v>127655</v>
      </c>
      <c r="C6" s="47" t="s">
        <v>1642</v>
      </c>
      <c r="D6" s="109">
        <f>SUMIF(B$3:B$3844,B6,M$3:M$3844)/(SUMIF(B$3:B$3844,B6,J$3:J$3844))</f>
        <v>0.64099779280383984</v>
      </c>
      <c r="E6" s="47">
        <v>16055920</v>
      </c>
      <c r="F6" s="48" t="s">
        <v>1646</v>
      </c>
      <c r="G6" s="47"/>
      <c r="H6" s="47"/>
      <c r="I6" s="40"/>
      <c r="J6" s="40">
        <v>15</v>
      </c>
      <c r="K6" s="20"/>
      <c r="L6" s="21"/>
      <c r="M6" s="110">
        <f>IF(L6="",I6,(MIN(J6,(L6*1.6*J6))))</f>
        <v>0</v>
      </c>
      <c r="N6" s="111">
        <f>IF(M6=0,0,(M6/J6))</f>
        <v>0</v>
      </c>
    </row>
    <row r="7" spans="2:14">
      <c r="B7" s="72">
        <v>127655</v>
      </c>
      <c r="C7" s="47" t="s">
        <v>1642</v>
      </c>
      <c r="D7" s="109">
        <f>SUMIF(B$3:B$3844,B7,M$3:M$3844)/(SUMIF(B$3:B$3844,B7,J$3:J$3844))</f>
        <v>0.64099779280383984</v>
      </c>
      <c r="E7" s="47">
        <v>35708</v>
      </c>
      <c r="F7" s="48" t="s">
        <v>1647</v>
      </c>
      <c r="G7" s="47"/>
      <c r="H7" s="47"/>
      <c r="I7" s="40"/>
      <c r="J7" s="40">
        <v>377</v>
      </c>
      <c r="K7" s="20">
        <v>2015</v>
      </c>
      <c r="L7" s="21">
        <v>0.62509999999999999</v>
      </c>
      <c r="M7" s="110">
        <f>IF(L7="",I7,(MIN(J7,(L7*1.6*J7))))</f>
        <v>377</v>
      </c>
      <c r="N7" s="111">
        <f>IF(M7=0,0,(M7/J7))</f>
        <v>1</v>
      </c>
    </row>
    <row r="8" spans="2:14">
      <c r="B8" s="73">
        <v>127655</v>
      </c>
      <c r="C8" s="23" t="s">
        <v>1642</v>
      </c>
      <c r="D8" s="109">
        <f>SUMIF(B$3:B$3844,B8,M$3:M$3844)/(SUMIF(B$3:B$3844,B8,J$3:J$3844))</f>
        <v>0.64099779280383984</v>
      </c>
      <c r="E8" s="23">
        <v>16083437</v>
      </c>
      <c r="F8" s="46" t="s">
        <v>1648</v>
      </c>
      <c r="G8" s="23"/>
      <c r="H8" s="23"/>
      <c r="I8" s="41">
        <v>13</v>
      </c>
      <c r="J8" s="41">
        <v>74</v>
      </c>
      <c r="K8" s="20"/>
      <c r="L8" s="21"/>
      <c r="M8" s="110">
        <f>IF(L8="",I8,(MIN(J8,(L8*1.6*J8))))</f>
        <v>13</v>
      </c>
      <c r="N8" s="111">
        <f>IF(M8=0,0,(M8/J8))</f>
        <v>0.17567567567567569</v>
      </c>
    </row>
    <row r="9" spans="2:14">
      <c r="B9" s="73">
        <v>127655</v>
      </c>
      <c r="C9" s="23" t="s">
        <v>1642</v>
      </c>
      <c r="D9" s="109">
        <f>SUMIF(B$3:B$3844,B9,M$3:M$3844)/(SUMIF(B$3:B$3844,B9,J$3:J$3844))</f>
        <v>0.64099779280383984</v>
      </c>
      <c r="E9" s="23">
        <v>176750</v>
      </c>
      <c r="F9" s="46" t="s">
        <v>1649</v>
      </c>
      <c r="G9" s="23"/>
      <c r="H9" s="23"/>
      <c r="I9" s="41">
        <v>5</v>
      </c>
      <c r="J9" s="41">
        <v>43</v>
      </c>
      <c r="K9" s="20"/>
      <c r="L9" s="21"/>
      <c r="M9" s="110">
        <f>IF(L9="",I9,(MIN(J9,(L9*1.6*J9))))</f>
        <v>5</v>
      </c>
      <c r="N9" s="111">
        <f>IF(M9=0,0,(M9/J9))</f>
        <v>0.11627906976744186</v>
      </c>
    </row>
    <row r="10" spans="2:14">
      <c r="B10" s="72">
        <v>127655</v>
      </c>
      <c r="C10" s="47" t="s">
        <v>1642</v>
      </c>
      <c r="D10" s="109">
        <f>SUMIF(B$3:B$3844,B10,M$3:M$3844)/(SUMIF(B$3:B$3844,B10,J$3:J$3844))</f>
        <v>0.64099779280383984</v>
      </c>
      <c r="E10" s="47">
        <v>151518</v>
      </c>
      <c r="F10" s="48" t="s">
        <v>1650</v>
      </c>
      <c r="G10" s="47"/>
      <c r="H10" s="47"/>
      <c r="I10" s="40"/>
      <c r="J10" s="40">
        <v>39</v>
      </c>
      <c r="K10" s="20">
        <v>2015</v>
      </c>
      <c r="L10" s="21">
        <v>0.62509999999999999</v>
      </c>
      <c r="M10" s="110">
        <f>IF(L10="",I10,(MIN(J10,(L10*1.6*J10))))</f>
        <v>39</v>
      </c>
      <c r="N10" s="111">
        <f>IF(M10=0,0,(M10/J10))</f>
        <v>1</v>
      </c>
    </row>
    <row r="11" spans="2:14">
      <c r="B11" s="73">
        <v>127655</v>
      </c>
      <c r="C11" s="23" t="s">
        <v>1642</v>
      </c>
      <c r="D11" s="109">
        <f>SUMIF(B$3:B$3844,B11,M$3:M$3844)/(SUMIF(B$3:B$3844,B11,J$3:J$3844))</f>
        <v>0.64099779280383984</v>
      </c>
      <c r="E11" s="23">
        <v>35714</v>
      </c>
      <c r="F11" s="46" t="s">
        <v>1651</v>
      </c>
      <c r="G11" s="23"/>
      <c r="H11" s="23"/>
      <c r="I11" s="41"/>
      <c r="J11" s="41">
        <v>501</v>
      </c>
      <c r="K11" s="20">
        <v>2015</v>
      </c>
      <c r="L11" s="21">
        <v>0.62509999999999999</v>
      </c>
      <c r="M11" s="110">
        <f>IF(L11="",I11,(MIN(J11,(L11*1.6*J11))))</f>
        <v>501</v>
      </c>
      <c r="N11" s="111">
        <f>IF(M11=0,0,(M11/J11))</f>
        <v>1</v>
      </c>
    </row>
    <row r="12" spans="2:14">
      <c r="B12" s="72">
        <v>127655</v>
      </c>
      <c r="C12" s="47" t="s">
        <v>1642</v>
      </c>
      <c r="D12" s="109">
        <f>SUMIF(B$3:B$3844,B12,M$3:M$3844)/(SUMIF(B$3:B$3844,B12,J$3:J$3844))</f>
        <v>0.64099779280383984</v>
      </c>
      <c r="E12" s="47">
        <v>16083445</v>
      </c>
      <c r="F12" s="48" t="s">
        <v>1652</v>
      </c>
      <c r="G12" s="47"/>
      <c r="H12" s="47"/>
      <c r="I12" s="40"/>
      <c r="J12" s="40">
        <v>144</v>
      </c>
      <c r="K12" s="20">
        <v>2015</v>
      </c>
      <c r="L12" s="21">
        <v>0.62509999999999999</v>
      </c>
      <c r="M12" s="110">
        <f>IF(L12="",I12,(MIN(J12,(L12*1.6*J12))))</f>
        <v>144</v>
      </c>
      <c r="N12" s="111">
        <f>IF(M12=0,0,(M12/J12))</f>
        <v>1</v>
      </c>
    </row>
    <row r="13" spans="2:14">
      <c r="B13" s="73">
        <v>127655</v>
      </c>
      <c r="C13" s="23" t="s">
        <v>1642</v>
      </c>
      <c r="D13" s="109">
        <f>SUMIF(B$3:B$3844,B13,M$3:M$3844)/(SUMIF(B$3:B$3844,B13,J$3:J$3844))</f>
        <v>0.64099779280383984</v>
      </c>
      <c r="E13" s="23">
        <v>35675</v>
      </c>
      <c r="F13" s="46" t="s">
        <v>1653</v>
      </c>
      <c r="G13" s="23"/>
      <c r="H13" s="23"/>
      <c r="I13" s="41"/>
      <c r="J13" s="41">
        <v>636</v>
      </c>
      <c r="K13" s="20">
        <v>2015</v>
      </c>
      <c r="L13" s="21">
        <v>0.62509999999999999</v>
      </c>
      <c r="M13" s="110">
        <f>IF(L13="",I13,(MIN(J13,(L13*1.6*J13))))</f>
        <v>636</v>
      </c>
      <c r="N13" s="111">
        <f>IF(M13=0,0,(M13/J13))</f>
        <v>1</v>
      </c>
    </row>
    <row r="14" spans="2:14">
      <c r="B14" s="72">
        <v>127655</v>
      </c>
      <c r="C14" s="47" t="s">
        <v>1642</v>
      </c>
      <c r="D14" s="109">
        <f>SUMIF(B$3:B$3844,B14,M$3:M$3844)/(SUMIF(B$3:B$3844,B14,J$3:J$3844))</f>
        <v>0.64099779280383984</v>
      </c>
      <c r="E14" s="47">
        <v>34870</v>
      </c>
      <c r="F14" s="48" t="s">
        <v>1654</v>
      </c>
      <c r="G14" s="47"/>
      <c r="H14" s="47"/>
      <c r="I14" s="40"/>
      <c r="J14" s="40">
        <v>0</v>
      </c>
      <c r="K14" s="20"/>
      <c r="L14" s="21"/>
      <c r="M14" s="110">
        <f>IF(L14="",I14,(MIN(J14,(L14*1.6*J14))))</f>
        <v>0</v>
      </c>
      <c r="N14" s="111">
        <f>IF(M14=0,0,(M14/J14))</f>
        <v>0</v>
      </c>
    </row>
    <row r="15" spans="2:14">
      <c r="B15" s="73">
        <v>127655</v>
      </c>
      <c r="C15" s="23" t="s">
        <v>1642</v>
      </c>
      <c r="D15" s="109">
        <f>SUMIF(B$3:B$3844,B15,M$3:M$3844)/(SUMIF(B$3:B$3844,B15,J$3:J$3844))</f>
        <v>0.64099779280383984</v>
      </c>
      <c r="E15" s="23">
        <v>221826</v>
      </c>
      <c r="F15" s="46" t="s">
        <v>1655</v>
      </c>
      <c r="G15" s="23"/>
      <c r="H15" s="23"/>
      <c r="I15" s="41"/>
      <c r="J15" s="41">
        <v>144</v>
      </c>
      <c r="K15" s="20">
        <v>2015</v>
      </c>
      <c r="L15" s="21">
        <v>0.62509999999999999</v>
      </c>
      <c r="M15" s="110">
        <f>IF(L15="",I15,(MIN(J15,(L15*1.6*J15))))</f>
        <v>144</v>
      </c>
      <c r="N15" s="111">
        <f>IF(M15=0,0,(M15/J15))</f>
        <v>1</v>
      </c>
    </row>
    <row r="16" spans="2:14">
      <c r="B16" s="72">
        <v>127655</v>
      </c>
      <c r="C16" s="47" t="s">
        <v>1642</v>
      </c>
      <c r="D16" s="109">
        <f>SUMIF(B$3:B$3844,B16,M$3:M$3844)/(SUMIF(B$3:B$3844,B16,J$3:J$3844))</f>
        <v>0.64099779280383984</v>
      </c>
      <c r="E16" s="47">
        <v>35738</v>
      </c>
      <c r="F16" s="48" t="s">
        <v>1656</v>
      </c>
      <c r="G16" s="47"/>
      <c r="H16" s="47"/>
      <c r="I16" s="40"/>
      <c r="J16" s="40">
        <v>308</v>
      </c>
      <c r="K16" s="20">
        <v>2015</v>
      </c>
      <c r="L16" s="21">
        <v>0.62509999999999999</v>
      </c>
      <c r="M16" s="110">
        <f>IF(L16="",I16,(MIN(J16,(L16*1.6*J16))))</f>
        <v>308</v>
      </c>
      <c r="N16" s="111">
        <f>IF(M16=0,0,(M16/J16))</f>
        <v>1</v>
      </c>
    </row>
    <row r="17" spans="2:14">
      <c r="B17" s="73">
        <v>127655</v>
      </c>
      <c r="C17" s="23" t="s">
        <v>1642</v>
      </c>
      <c r="D17" s="109">
        <f>SUMIF(B$3:B$3844,B17,M$3:M$3844)/(SUMIF(B$3:B$3844,B17,J$3:J$3844))</f>
        <v>0.64099779280383984</v>
      </c>
      <c r="E17" s="23">
        <v>35742</v>
      </c>
      <c r="F17" s="46" t="s">
        <v>1657</v>
      </c>
      <c r="G17" s="23"/>
      <c r="H17" s="23"/>
      <c r="I17" s="41">
        <v>0</v>
      </c>
      <c r="J17" s="41">
        <v>379</v>
      </c>
      <c r="K17" s="20">
        <v>2015</v>
      </c>
      <c r="L17" s="21">
        <v>0.62509999999999999</v>
      </c>
      <c r="M17" s="110">
        <f>IF(L17="",I17,(MIN(J17,(L17*1.6*J17))))</f>
        <v>379</v>
      </c>
      <c r="N17" s="111">
        <f>IF(M17=0,0,(M17/J17))</f>
        <v>1</v>
      </c>
    </row>
    <row r="18" spans="2:14">
      <c r="B18" s="112">
        <v>127655</v>
      </c>
      <c r="C18" s="113" t="s">
        <v>1642</v>
      </c>
      <c r="D18" s="109">
        <f>SUMIF(B$3:B$3844,B18,M$3:M$3844)/(SUMIF(B$3:B$3844,B18,J$3:J$3844))</f>
        <v>0.64099779280383984</v>
      </c>
      <c r="E18" s="114">
        <v>205600</v>
      </c>
      <c r="F18" s="115" t="s">
        <v>2443</v>
      </c>
      <c r="G18" s="116"/>
      <c r="H18" s="117"/>
      <c r="I18" s="40">
        <v>0</v>
      </c>
      <c r="J18" s="40">
        <v>0</v>
      </c>
      <c r="K18" s="118"/>
      <c r="L18" s="119"/>
      <c r="M18" s="110">
        <f>IF(L18="",I18,(MIN(J18,(L18*1.6*J18))))</f>
        <v>0</v>
      </c>
      <c r="N18" s="111">
        <f>IF(M18=0,0,(M18/J18))</f>
        <v>0</v>
      </c>
    </row>
    <row r="19" spans="2:14">
      <c r="B19" s="72">
        <v>127655</v>
      </c>
      <c r="C19" s="47" t="s">
        <v>1642</v>
      </c>
      <c r="D19" s="109">
        <f>SUMIF(B$3:B$3844,B19,M$3:M$3844)/(SUMIF(B$3:B$3844,B19,J$3:J$3844))</f>
        <v>0.64099779280383984</v>
      </c>
      <c r="E19" s="47">
        <v>35748</v>
      </c>
      <c r="F19" s="48" t="s">
        <v>1658</v>
      </c>
      <c r="G19" s="47"/>
      <c r="H19" s="47"/>
      <c r="I19" s="40">
        <v>682</v>
      </c>
      <c r="J19" s="40">
        <v>1447</v>
      </c>
      <c r="K19" s="20"/>
      <c r="L19" s="21"/>
      <c r="M19" s="110">
        <f>IF(L19="",I19,(MIN(J19,(L19*1.6*J19))))</f>
        <v>682</v>
      </c>
      <c r="N19" s="111">
        <f>IF(M19=0,0,(M19/J19))</f>
        <v>0.47131997235659984</v>
      </c>
    </row>
    <row r="20" spans="2:14">
      <c r="B20" s="73">
        <v>127655</v>
      </c>
      <c r="C20" s="23" t="s">
        <v>1642</v>
      </c>
      <c r="D20" s="109">
        <f>SUMIF(B$3:B$3844,B20,M$3:M$3844)/(SUMIF(B$3:B$3844,B20,J$3:J$3844))</f>
        <v>0.64099779280383984</v>
      </c>
      <c r="E20" s="23">
        <v>228248</v>
      </c>
      <c r="F20" s="46" t="s">
        <v>1659</v>
      </c>
      <c r="G20" s="23"/>
      <c r="H20" s="23"/>
      <c r="I20" s="41">
        <v>15</v>
      </c>
      <c r="J20" s="41">
        <v>85</v>
      </c>
      <c r="K20" s="20"/>
      <c r="L20" s="21"/>
      <c r="M20" s="110">
        <f>IF(L20="",I20,(MIN(J20,(L20*1.6*J20))))</f>
        <v>15</v>
      </c>
      <c r="N20" s="111">
        <f>IF(M20=0,0,(M20/J20))</f>
        <v>0.17647058823529413</v>
      </c>
    </row>
    <row r="21" spans="2:14">
      <c r="B21" s="72">
        <v>127655</v>
      </c>
      <c r="C21" s="47" t="s">
        <v>1642</v>
      </c>
      <c r="D21" s="109">
        <f>SUMIF(B$3:B$3844,B21,M$3:M$3844)/(SUMIF(B$3:B$3844,B21,J$3:J$3844))</f>
        <v>0.64099779280383984</v>
      </c>
      <c r="E21" s="47">
        <v>35690</v>
      </c>
      <c r="F21" s="48" t="s">
        <v>1660</v>
      </c>
      <c r="G21" s="47"/>
      <c r="H21" s="47"/>
      <c r="I21" s="40">
        <v>640</v>
      </c>
      <c r="J21" s="40">
        <v>2252</v>
      </c>
      <c r="K21" s="20"/>
      <c r="L21" s="21"/>
      <c r="M21" s="110">
        <f>IF(L21="",I21,(MIN(J21,(L21*1.6*J21))))</f>
        <v>640</v>
      </c>
      <c r="N21" s="111">
        <f>IF(M21=0,0,(M21/J21))</f>
        <v>0.28419182948490229</v>
      </c>
    </row>
    <row r="22" spans="2:14">
      <c r="B22" s="73">
        <v>127655</v>
      </c>
      <c r="C22" s="23" t="s">
        <v>1642</v>
      </c>
      <c r="D22" s="109">
        <f>SUMIF(B$3:B$3844,B22,M$3:M$3844)/(SUMIF(B$3:B$3844,B22,J$3:J$3844))</f>
        <v>0.64099779280383984</v>
      </c>
      <c r="E22" s="23">
        <v>167496</v>
      </c>
      <c r="F22" s="46" t="s">
        <v>1661</v>
      </c>
      <c r="G22" s="23"/>
      <c r="H22" s="23"/>
      <c r="I22" s="41"/>
      <c r="J22" s="41">
        <v>56</v>
      </c>
      <c r="K22" s="20">
        <v>2015</v>
      </c>
      <c r="L22" s="21">
        <v>0.62509999999999999</v>
      </c>
      <c r="M22" s="110">
        <f>IF(L22="",I22,(MIN(J22,(L22*1.6*J22))))</f>
        <v>56</v>
      </c>
      <c r="N22" s="111">
        <f>IF(M22=0,0,(M22/J22))</f>
        <v>1</v>
      </c>
    </row>
    <row r="23" spans="2:14">
      <c r="B23" s="112">
        <v>127655</v>
      </c>
      <c r="C23" s="113" t="s">
        <v>1642</v>
      </c>
      <c r="D23" s="109">
        <f>SUMIF(B$3:B$3844,B23,M$3:M$3844)/(SUMIF(B$3:B$3844,B23,J$3:J$3844))</f>
        <v>0.64099779280383984</v>
      </c>
      <c r="E23" s="114">
        <v>188844</v>
      </c>
      <c r="F23" s="115" t="s">
        <v>2444</v>
      </c>
      <c r="G23" s="116"/>
      <c r="H23" s="117"/>
      <c r="I23" s="40">
        <v>0</v>
      </c>
      <c r="J23" s="40">
        <v>0</v>
      </c>
      <c r="K23" s="118"/>
      <c r="L23" s="119"/>
      <c r="M23" s="110">
        <f>IF(L23="",I23,(MIN(J23,(L23*1.6*J23))))</f>
        <v>0</v>
      </c>
      <c r="N23" s="111">
        <f>IF(M23=0,0,(M23/J23))</f>
        <v>0</v>
      </c>
    </row>
    <row r="24" spans="2:14">
      <c r="B24" s="72">
        <v>127655</v>
      </c>
      <c r="C24" s="47" t="s">
        <v>1642</v>
      </c>
      <c r="D24" s="109">
        <f>SUMIF(B$3:B$3844,B24,M$3:M$3844)/(SUMIF(B$3:B$3844,B24,J$3:J$3844))</f>
        <v>0.64099779280383984</v>
      </c>
      <c r="E24" s="47">
        <v>35685</v>
      </c>
      <c r="F24" s="48" t="s">
        <v>1662</v>
      </c>
      <c r="G24" s="47"/>
      <c r="H24" s="47"/>
      <c r="I24" s="40">
        <v>373</v>
      </c>
      <c r="J24" s="40">
        <v>859</v>
      </c>
      <c r="K24" s="20"/>
      <c r="L24" s="21"/>
      <c r="M24" s="110">
        <f>IF(L24="",I24,(MIN(J24,(L24*1.6*J24))))</f>
        <v>373</v>
      </c>
      <c r="N24" s="111">
        <f>IF(M24=0,0,(M24/J24))</f>
        <v>0.43422584400465658</v>
      </c>
    </row>
    <row r="25" spans="2:14">
      <c r="B25" s="73">
        <v>127655</v>
      </c>
      <c r="C25" s="23" t="s">
        <v>1642</v>
      </c>
      <c r="D25" s="109">
        <f>SUMIF(B$3:B$3844,B25,M$3:M$3844)/(SUMIF(B$3:B$3844,B25,J$3:J$3844))</f>
        <v>0.64099779280383984</v>
      </c>
      <c r="E25" s="23">
        <v>35704</v>
      </c>
      <c r="F25" s="46" t="s">
        <v>1663</v>
      </c>
      <c r="G25" s="23"/>
      <c r="H25" s="23"/>
      <c r="I25" s="41">
        <v>803</v>
      </c>
      <c r="J25" s="41">
        <v>1890</v>
      </c>
      <c r="K25" s="20"/>
      <c r="L25" s="21"/>
      <c r="M25" s="110">
        <f>IF(L25="",I25,(MIN(J25,(L25*1.6*J25))))</f>
        <v>803</v>
      </c>
      <c r="N25" s="111">
        <f>IF(M25=0,0,(M25/J25))</f>
        <v>0.42486772486772489</v>
      </c>
    </row>
    <row r="26" spans="2:14">
      <c r="B26" s="72">
        <v>127655</v>
      </c>
      <c r="C26" s="47" t="s">
        <v>1642</v>
      </c>
      <c r="D26" s="109">
        <f>SUMIF(B$3:B$3844,B26,M$3:M$3844)/(SUMIF(B$3:B$3844,B26,J$3:J$3844))</f>
        <v>0.64099779280383984</v>
      </c>
      <c r="E26" s="47">
        <v>228252</v>
      </c>
      <c r="F26" s="48" t="s">
        <v>1664</v>
      </c>
      <c r="G26" s="47"/>
      <c r="H26" s="47"/>
      <c r="I26" s="40"/>
      <c r="J26" s="40">
        <v>69</v>
      </c>
      <c r="K26" s="20">
        <v>2015</v>
      </c>
      <c r="L26" s="21">
        <v>0.62509999999999999</v>
      </c>
      <c r="M26" s="110">
        <f>IF(L26="",I26,(MIN(J26,(L26*1.6*J26))))</f>
        <v>69</v>
      </c>
      <c r="N26" s="111">
        <f>IF(M26=0,0,(M26/J26))</f>
        <v>1</v>
      </c>
    </row>
    <row r="27" spans="2:14">
      <c r="B27" s="73">
        <v>127655</v>
      </c>
      <c r="C27" s="23" t="s">
        <v>1642</v>
      </c>
      <c r="D27" s="109">
        <f>SUMIF(B$3:B$3844,B27,M$3:M$3844)/(SUMIF(B$3:B$3844,B27,J$3:J$3844))</f>
        <v>0.64099779280383984</v>
      </c>
      <c r="E27" s="23">
        <v>35677</v>
      </c>
      <c r="F27" s="46" t="s">
        <v>1665</v>
      </c>
      <c r="G27" s="23"/>
      <c r="H27" s="23"/>
      <c r="I27" s="41">
        <v>221</v>
      </c>
      <c r="J27" s="41">
        <v>492</v>
      </c>
      <c r="K27" s="20"/>
      <c r="L27" s="21"/>
      <c r="M27" s="110">
        <f>IF(L27="",I27,(MIN(J27,(L27*1.6*J27))))</f>
        <v>221</v>
      </c>
      <c r="N27" s="111">
        <f>IF(M27=0,0,(M27/J27))</f>
        <v>0.44918699186991867</v>
      </c>
    </row>
    <row r="28" spans="2:14">
      <c r="B28" s="72">
        <v>127655</v>
      </c>
      <c r="C28" s="47" t="s">
        <v>1642</v>
      </c>
      <c r="D28" s="109">
        <f>SUMIF(B$3:B$3844,B28,M$3:M$3844)/(SUMIF(B$3:B$3844,B28,J$3:J$3844))</f>
        <v>0.64099779280383984</v>
      </c>
      <c r="E28" s="47">
        <v>35739</v>
      </c>
      <c r="F28" s="48" t="s">
        <v>1666</v>
      </c>
      <c r="G28" s="47"/>
      <c r="H28" s="47"/>
      <c r="I28" s="40"/>
      <c r="J28" s="40">
        <v>291</v>
      </c>
      <c r="K28" s="20">
        <v>2015</v>
      </c>
      <c r="L28" s="21">
        <v>0.62509999999999999</v>
      </c>
      <c r="M28" s="110">
        <f>IF(L28="",I28,(MIN(J28,(L28*1.6*J28))))</f>
        <v>291</v>
      </c>
      <c r="N28" s="111">
        <f>IF(M28=0,0,(M28/J28))</f>
        <v>1</v>
      </c>
    </row>
    <row r="29" spans="2:14">
      <c r="B29" s="73">
        <v>127655</v>
      </c>
      <c r="C29" s="23" t="s">
        <v>1642</v>
      </c>
      <c r="D29" s="109">
        <f>SUMIF(B$3:B$3844,B29,M$3:M$3844)/(SUMIF(B$3:B$3844,B29,J$3:J$3844))</f>
        <v>0.64099779280383984</v>
      </c>
      <c r="E29" s="23">
        <v>16083443</v>
      </c>
      <c r="F29" s="46" t="s">
        <v>1667</v>
      </c>
      <c r="G29" s="23"/>
      <c r="H29" s="23"/>
      <c r="I29" s="41">
        <v>17</v>
      </c>
      <c r="J29" s="41">
        <v>102</v>
      </c>
      <c r="K29" s="20"/>
      <c r="L29" s="21"/>
      <c r="M29" s="110">
        <f>IF(L29="",I29,(MIN(J29,(L29*1.6*J29))))</f>
        <v>17</v>
      </c>
      <c r="N29" s="111">
        <f>IF(M29=0,0,(M29/J29))</f>
        <v>0.16666666666666666</v>
      </c>
    </row>
    <row r="30" spans="2:14">
      <c r="B30" s="72">
        <v>127655</v>
      </c>
      <c r="C30" s="47" t="s">
        <v>1642</v>
      </c>
      <c r="D30" s="109">
        <f>SUMIF(B$3:B$3844,B30,M$3:M$3844)/(SUMIF(B$3:B$3844,B30,J$3:J$3844))</f>
        <v>0.64099779280383984</v>
      </c>
      <c r="E30" s="47">
        <v>35686</v>
      </c>
      <c r="F30" s="48" t="s">
        <v>1668</v>
      </c>
      <c r="G30" s="47"/>
      <c r="H30" s="47"/>
      <c r="I30" s="40">
        <v>261</v>
      </c>
      <c r="J30" s="40">
        <v>791</v>
      </c>
      <c r="K30" s="20"/>
      <c r="L30" s="21"/>
      <c r="M30" s="110">
        <f>IF(L30="",I30,(MIN(J30,(L30*1.6*J30))))</f>
        <v>261</v>
      </c>
      <c r="N30" s="111">
        <f>IF(M30=0,0,(M30/J30))</f>
        <v>0.32996207332490518</v>
      </c>
    </row>
    <row r="31" spans="2:14">
      <c r="B31" s="73">
        <v>127655</v>
      </c>
      <c r="C31" s="23" t="s">
        <v>1642</v>
      </c>
      <c r="D31" s="109">
        <f>SUMIF(B$3:B$3844,B31,M$3:M$3844)/(SUMIF(B$3:B$3844,B31,J$3:J$3844))</f>
        <v>0.64099779280383984</v>
      </c>
      <c r="E31" s="23">
        <v>35750</v>
      </c>
      <c r="F31" s="46" t="s">
        <v>1669</v>
      </c>
      <c r="G31" s="23"/>
      <c r="H31" s="23"/>
      <c r="I31" s="41">
        <v>423</v>
      </c>
      <c r="J31" s="41">
        <v>893</v>
      </c>
      <c r="K31" s="20"/>
      <c r="L31" s="21"/>
      <c r="M31" s="110">
        <f>IF(L31="",I31,(MIN(J31,(L31*1.6*J31))))</f>
        <v>423</v>
      </c>
      <c r="N31" s="111">
        <f>IF(M31=0,0,(M31/J31))</f>
        <v>0.47368421052631576</v>
      </c>
    </row>
    <row r="32" spans="2:14">
      <c r="B32" s="112">
        <v>127655</v>
      </c>
      <c r="C32" s="113" t="s">
        <v>1642</v>
      </c>
      <c r="D32" s="109">
        <f>SUMIF(B$3:B$3844,B32,M$3:M$3844)/(SUMIF(B$3:B$3844,B32,J$3:J$3844))</f>
        <v>0.64099779280383984</v>
      </c>
      <c r="E32" s="114">
        <v>35743</v>
      </c>
      <c r="F32" s="115" t="s">
        <v>2445</v>
      </c>
      <c r="G32" s="116"/>
      <c r="H32" s="117"/>
      <c r="I32" s="40">
        <v>0</v>
      </c>
      <c r="J32" s="40">
        <v>0</v>
      </c>
      <c r="K32" s="118"/>
      <c r="L32" s="119"/>
      <c r="M32" s="110">
        <f>IF(L32="",I32,(MIN(J32,(L32*1.6*J32))))</f>
        <v>0</v>
      </c>
      <c r="N32" s="111">
        <f>IF(M32=0,0,(M32/J32))</f>
        <v>0</v>
      </c>
    </row>
    <row r="33" spans="2:14">
      <c r="B33" s="72">
        <v>127655</v>
      </c>
      <c r="C33" s="47" t="s">
        <v>1642</v>
      </c>
      <c r="D33" s="109">
        <f>SUMIF(B$3:B$3844,B33,M$3:M$3844)/(SUMIF(B$3:B$3844,B33,J$3:J$3844))</f>
        <v>0.64099779280383984</v>
      </c>
      <c r="E33" s="47">
        <v>17004858</v>
      </c>
      <c r="F33" s="48" t="s">
        <v>1296</v>
      </c>
      <c r="G33" s="47"/>
      <c r="H33" s="47"/>
      <c r="I33" s="40">
        <v>5</v>
      </c>
      <c r="J33" s="40">
        <v>29</v>
      </c>
      <c r="K33" s="20"/>
      <c r="L33" s="21"/>
      <c r="M33" s="110">
        <f>IF(L33="",I33,(MIN(J33,(L33*1.6*J33))))</f>
        <v>5</v>
      </c>
      <c r="N33" s="111">
        <f>IF(M33=0,0,(M33/J33))</f>
        <v>0.17241379310344829</v>
      </c>
    </row>
    <row r="34" spans="2:14">
      <c r="B34" s="73">
        <v>127655</v>
      </c>
      <c r="C34" s="23" t="s">
        <v>1642</v>
      </c>
      <c r="D34" s="109">
        <f>SUMIF(B$3:B$3844,B34,M$3:M$3844)/(SUMIF(B$3:B$3844,B34,J$3:J$3844))</f>
        <v>0.64099779280383984</v>
      </c>
      <c r="E34" s="23">
        <v>35705</v>
      </c>
      <c r="F34" s="46" t="s">
        <v>1670</v>
      </c>
      <c r="G34" s="23"/>
      <c r="H34" s="23"/>
      <c r="I34" s="41"/>
      <c r="J34" s="41">
        <v>733</v>
      </c>
      <c r="K34" s="20">
        <v>2015</v>
      </c>
      <c r="L34" s="21">
        <v>0.62509999999999999</v>
      </c>
      <c r="M34" s="110">
        <f>IF(L34="",I34,(MIN(J34,(L34*1.6*J34))))</f>
        <v>733</v>
      </c>
      <c r="N34" s="111">
        <f>IF(M34=0,0,(M34/J34))</f>
        <v>1</v>
      </c>
    </row>
    <row r="35" spans="2:14">
      <c r="B35" s="72">
        <v>127655</v>
      </c>
      <c r="C35" s="47" t="s">
        <v>1642</v>
      </c>
      <c r="D35" s="109">
        <f>SUMIF(B$3:B$3844,B35,M$3:M$3844)/(SUMIF(B$3:B$3844,B35,J$3:J$3844))</f>
        <v>0.64099779280383984</v>
      </c>
      <c r="E35" s="47">
        <v>35697</v>
      </c>
      <c r="F35" s="48" t="s">
        <v>1671</v>
      </c>
      <c r="G35" s="47"/>
      <c r="H35" s="47"/>
      <c r="I35" s="40"/>
      <c r="J35" s="40">
        <v>744</v>
      </c>
      <c r="K35" s="20">
        <v>2015</v>
      </c>
      <c r="L35" s="21">
        <v>0.62509999999999999</v>
      </c>
      <c r="M35" s="110">
        <f>IF(L35="",I35,(MIN(J35,(L35*1.6*J35))))</f>
        <v>744</v>
      </c>
      <c r="N35" s="111">
        <f>IF(M35=0,0,(M35/J35))</f>
        <v>1</v>
      </c>
    </row>
    <row r="36" spans="2:14">
      <c r="B36" s="73">
        <v>127655</v>
      </c>
      <c r="C36" s="23" t="s">
        <v>1642</v>
      </c>
      <c r="D36" s="109">
        <f>SUMIF(B$3:B$3844,B36,M$3:M$3844)/(SUMIF(B$3:B$3844,B36,J$3:J$3844))</f>
        <v>0.64099779280383984</v>
      </c>
      <c r="E36" s="23">
        <v>35673</v>
      </c>
      <c r="F36" s="46" t="s">
        <v>1672</v>
      </c>
      <c r="G36" s="23"/>
      <c r="H36" s="23"/>
      <c r="I36" s="41">
        <v>342</v>
      </c>
      <c r="J36" s="41">
        <v>637</v>
      </c>
      <c r="K36" s="20"/>
      <c r="L36" s="21"/>
      <c r="M36" s="110">
        <f>IF(L36="",I36,(MIN(J36,(L36*1.6*J36))))</f>
        <v>342</v>
      </c>
      <c r="N36" s="111">
        <f>IF(M36=0,0,(M36/J36))</f>
        <v>0.53689167974882257</v>
      </c>
    </row>
    <row r="37" spans="2:14">
      <c r="B37" s="72">
        <v>127655</v>
      </c>
      <c r="C37" s="47" t="s">
        <v>1642</v>
      </c>
      <c r="D37" s="109">
        <f>SUMIF(B$3:B$3844,B37,M$3:M$3844)/(SUMIF(B$3:B$3844,B37,J$3:J$3844))</f>
        <v>0.64099779280383984</v>
      </c>
      <c r="E37" s="47">
        <v>35746</v>
      </c>
      <c r="F37" s="48" t="s">
        <v>1673</v>
      </c>
      <c r="G37" s="47"/>
      <c r="H37" s="47"/>
      <c r="I37" s="40"/>
      <c r="J37" s="40">
        <v>565</v>
      </c>
      <c r="K37" s="20">
        <v>2015</v>
      </c>
      <c r="L37" s="21">
        <v>0.62509999999999999</v>
      </c>
      <c r="M37" s="110">
        <f>IF(L37="",I37,(MIN(J37,(L37*1.6*J37))))</f>
        <v>565</v>
      </c>
      <c r="N37" s="111">
        <f>IF(M37=0,0,(M37/J37))</f>
        <v>1</v>
      </c>
    </row>
    <row r="38" spans="2:14">
      <c r="B38" s="73">
        <v>127655</v>
      </c>
      <c r="C38" s="23" t="s">
        <v>1642</v>
      </c>
      <c r="D38" s="109">
        <f>SUMIF(B$3:B$3844,B38,M$3:M$3844)/(SUMIF(B$3:B$3844,B38,J$3:J$3844))</f>
        <v>0.64099779280383984</v>
      </c>
      <c r="E38" s="23">
        <v>35699</v>
      </c>
      <c r="F38" s="46" t="s">
        <v>1674</v>
      </c>
      <c r="G38" s="23"/>
      <c r="H38" s="23"/>
      <c r="I38" s="41">
        <v>455</v>
      </c>
      <c r="J38" s="41">
        <v>960</v>
      </c>
      <c r="K38" s="20"/>
      <c r="L38" s="21"/>
      <c r="M38" s="110">
        <f>IF(L38="",I38,(MIN(J38,(L38*1.6*J38))))</f>
        <v>455</v>
      </c>
      <c r="N38" s="111">
        <f>IF(M38=0,0,(M38/J38))</f>
        <v>0.47395833333333331</v>
      </c>
    </row>
    <row r="39" spans="2:14">
      <c r="B39" s="72">
        <v>127655</v>
      </c>
      <c r="C39" s="47" t="s">
        <v>1642</v>
      </c>
      <c r="D39" s="109">
        <f>SUMIF(B$3:B$3844,B39,M$3:M$3844)/(SUMIF(B$3:B$3844,B39,J$3:J$3844))</f>
        <v>0.64099779280383984</v>
      </c>
      <c r="E39" s="47">
        <v>35698</v>
      </c>
      <c r="F39" s="48" t="s">
        <v>1675</v>
      </c>
      <c r="G39" s="47"/>
      <c r="H39" s="47"/>
      <c r="I39" s="40">
        <v>324</v>
      </c>
      <c r="J39" s="40">
        <v>807</v>
      </c>
      <c r="K39" s="20"/>
      <c r="L39" s="21"/>
      <c r="M39" s="110">
        <f>IF(L39="",I39,(MIN(J39,(L39*1.6*J39))))</f>
        <v>324</v>
      </c>
      <c r="N39" s="111">
        <f>IF(M39=0,0,(M39/J39))</f>
        <v>0.40148698884758366</v>
      </c>
    </row>
    <row r="40" spans="2:14">
      <c r="B40" s="120">
        <v>127655</v>
      </c>
      <c r="C40" s="121" t="s">
        <v>1642</v>
      </c>
      <c r="D40" s="109">
        <f>SUMIF(B$3:B$3844,B40,M$3:M$3844)/(SUMIF(B$3:B$3844,B40,J$3:J$3844))</f>
        <v>0.64099779280383984</v>
      </c>
      <c r="E40" s="122">
        <v>184652</v>
      </c>
      <c r="F40" s="115" t="s">
        <v>2446</v>
      </c>
      <c r="G40" s="116"/>
      <c r="H40" s="117"/>
      <c r="I40" s="40">
        <v>0</v>
      </c>
      <c r="J40" s="40">
        <v>0</v>
      </c>
      <c r="K40" s="118"/>
      <c r="L40" s="119"/>
      <c r="M40" s="110">
        <f>IF(L40="",I40,(MIN(J40,(L40*1.6*J40))))</f>
        <v>0</v>
      </c>
      <c r="N40" s="111">
        <f>IF(M40=0,0,(M40/J40))</f>
        <v>0</v>
      </c>
    </row>
    <row r="41" spans="2:14">
      <c r="B41" s="73">
        <v>127655</v>
      </c>
      <c r="C41" s="23" t="s">
        <v>1642</v>
      </c>
      <c r="D41" s="109">
        <f>SUMIF(B$3:B$3844,B41,M$3:M$3844)/(SUMIF(B$3:B$3844,B41,J$3:J$3844))</f>
        <v>0.64099779280383984</v>
      </c>
      <c r="E41" s="23">
        <v>35747</v>
      </c>
      <c r="F41" s="46" t="s">
        <v>109</v>
      </c>
      <c r="G41" s="23"/>
      <c r="H41" s="23"/>
      <c r="I41" s="41"/>
      <c r="J41" s="41">
        <v>489</v>
      </c>
      <c r="K41" s="20">
        <v>2015</v>
      </c>
      <c r="L41" s="21">
        <v>0.62509999999999999</v>
      </c>
      <c r="M41" s="110">
        <f>IF(L41="",I41,(MIN(J41,(L41*1.6*J41))))</f>
        <v>489</v>
      </c>
      <c r="N41" s="111">
        <f>IF(M41=0,0,(M41/J41))</f>
        <v>1</v>
      </c>
    </row>
    <row r="42" spans="2:14">
      <c r="B42" s="72">
        <v>127655</v>
      </c>
      <c r="C42" s="47" t="s">
        <v>1642</v>
      </c>
      <c r="D42" s="109">
        <f>SUMIF(B$3:B$3844,B42,M$3:M$3844)/(SUMIF(B$3:B$3844,B42,J$3:J$3844))</f>
        <v>0.64099779280383984</v>
      </c>
      <c r="E42" s="47">
        <v>206028</v>
      </c>
      <c r="F42" s="48" t="s">
        <v>1676</v>
      </c>
      <c r="G42" s="47"/>
      <c r="H42" s="47"/>
      <c r="I42" s="40">
        <v>283</v>
      </c>
      <c r="J42" s="40">
        <v>722</v>
      </c>
      <c r="K42" s="20"/>
      <c r="L42" s="21"/>
      <c r="M42" s="110">
        <f>IF(L42="",I42,(MIN(J42,(L42*1.6*J42))))</f>
        <v>283</v>
      </c>
      <c r="N42" s="111">
        <f>IF(M42=0,0,(M42/J42))</f>
        <v>0.39196675900277006</v>
      </c>
    </row>
    <row r="43" spans="2:14">
      <c r="B43" s="73">
        <v>127655</v>
      </c>
      <c r="C43" s="23" t="s">
        <v>1642</v>
      </c>
      <c r="D43" s="109">
        <f>SUMIF(B$3:B$3844,B43,M$3:M$3844)/(SUMIF(B$3:B$3844,B43,J$3:J$3844))</f>
        <v>0.64099779280383984</v>
      </c>
      <c r="E43" s="23">
        <v>35680</v>
      </c>
      <c r="F43" s="46" t="s">
        <v>1677</v>
      </c>
      <c r="G43" s="23"/>
      <c r="H43" s="23"/>
      <c r="I43" s="41"/>
      <c r="J43" s="41">
        <v>699</v>
      </c>
      <c r="K43" s="20">
        <v>2015</v>
      </c>
      <c r="L43" s="21">
        <v>0.62509999999999999</v>
      </c>
      <c r="M43" s="110">
        <f>IF(L43="",I43,(MIN(J43,(L43*1.6*J43))))</f>
        <v>699</v>
      </c>
      <c r="N43" s="111">
        <f>IF(M43=0,0,(M43/J43))</f>
        <v>1</v>
      </c>
    </row>
    <row r="44" spans="2:14" ht="30">
      <c r="B44" s="72">
        <v>127655</v>
      </c>
      <c r="C44" s="47" t="s">
        <v>1642</v>
      </c>
      <c r="D44" s="109">
        <f>SUMIF(B$3:B$3844,B44,M$3:M$3844)/(SUMIF(B$3:B$3844,B44,J$3:J$3844))</f>
        <v>0.64099779280383984</v>
      </c>
      <c r="E44" s="47">
        <v>35701</v>
      </c>
      <c r="F44" s="48" t="s">
        <v>1678</v>
      </c>
      <c r="G44" s="47"/>
      <c r="H44" s="47"/>
      <c r="I44" s="40"/>
      <c r="J44" s="40">
        <v>345</v>
      </c>
      <c r="K44" s="20">
        <v>2015</v>
      </c>
      <c r="L44" s="21">
        <v>0.62509999999999999</v>
      </c>
      <c r="M44" s="110">
        <f>IF(L44="",I44,(MIN(J44,(L44*1.6*J44))))</f>
        <v>345</v>
      </c>
      <c r="N44" s="111">
        <f>IF(M44=0,0,(M44/J44))</f>
        <v>1</v>
      </c>
    </row>
    <row r="45" spans="2:14">
      <c r="B45" s="73">
        <v>127655</v>
      </c>
      <c r="C45" s="23" t="s">
        <v>1642</v>
      </c>
      <c r="D45" s="109">
        <f>SUMIF(B$3:B$3844,B45,M$3:M$3844)/(SUMIF(B$3:B$3844,B45,J$3:J$3844))</f>
        <v>0.64099779280383984</v>
      </c>
      <c r="E45" s="23">
        <v>16068329</v>
      </c>
      <c r="F45" s="46" t="s">
        <v>129</v>
      </c>
      <c r="G45" s="23"/>
      <c r="H45" s="23"/>
      <c r="I45" s="41">
        <v>292</v>
      </c>
      <c r="J45" s="41">
        <v>815</v>
      </c>
      <c r="K45" s="20"/>
      <c r="L45" s="21"/>
      <c r="M45" s="110">
        <f>IF(L45="",I45,(MIN(J45,(L45*1.6*J45))))</f>
        <v>292</v>
      </c>
      <c r="N45" s="111">
        <f>IF(M45=0,0,(M45/J45))</f>
        <v>0.35828220858895704</v>
      </c>
    </row>
    <row r="46" spans="2:14">
      <c r="B46" s="73">
        <v>127655</v>
      </c>
      <c r="C46" s="23" t="s">
        <v>1642</v>
      </c>
      <c r="D46" s="109">
        <f>SUMIF(B$3:B$3844,B46,M$3:M$3844)/(SUMIF(B$3:B$3844,B46,J$3:J$3844))</f>
        <v>0.64099779280383984</v>
      </c>
      <c r="E46" s="23">
        <v>16073447</v>
      </c>
      <c r="F46" s="46" t="s">
        <v>1679</v>
      </c>
      <c r="G46" s="23"/>
      <c r="H46" s="23"/>
      <c r="I46" s="41">
        <v>45</v>
      </c>
      <c r="J46" s="41">
        <v>61</v>
      </c>
      <c r="K46" s="20"/>
      <c r="L46" s="21"/>
      <c r="M46" s="110">
        <f>IF(L46="",I46,(MIN(J46,(L46*1.6*J46))))</f>
        <v>45</v>
      </c>
      <c r="N46" s="111">
        <f>IF(M46=0,0,(M46/J46))</f>
        <v>0.73770491803278693</v>
      </c>
    </row>
    <row r="47" spans="2:14">
      <c r="B47" s="73">
        <v>127655</v>
      </c>
      <c r="C47" s="23" t="s">
        <v>1642</v>
      </c>
      <c r="D47" s="109">
        <f>SUMIF(B$3:B$3844,B47,M$3:M$3844)/(SUMIF(B$3:B$3844,B47,J$3:J$3844))</f>
        <v>0.64099779280383984</v>
      </c>
      <c r="E47" s="23">
        <v>35691</v>
      </c>
      <c r="F47" s="46" t="s">
        <v>1680</v>
      </c>
      <c r="G47" s="23"/>
      <c r="H47" s="23"/>
      <c r="I47" s="41"/>
      <c r="J47" s="41">
        <v>714</v>
      </c>
      <c r="K47" s="20">
        <v>2015</v>
      </c>
      <c r="L47" s="21">
        <v>0.62509999999999999</v>
      </c>
      <c r="M47" s="110">
        <f>IF(L47="",I47,(MIN(J47,(L47*1.6*J47))))</f>
        <v>714</v>
      </c>
      <c r="N47" s="111">
        <f>IF(M47=0,0,(M47/J47))</f>
        <v>1</v>
      </c>
    </row>
    <row r="48" spans="2:14">
      <c r="B48" s="72">
        <v>127655</v>
      </c>
      <c r="C48" s="47" t="s">
        <v>1642</v>
      </c>
      <c r="D48" s="109">
        <f>SUMIF(B$3:B$3844,B48,M$3:M$3844)/(SUMIF(B$3:B$3844,B48,J$3:J$3844))</f>
        <v>0.64099779280383984</v>
      </c>
      <c r="E48" s="47">
        <v>35765</v>
      </c>
      <c r="F48" s="48" t="s">
        <v>1681</v>
      </c>
      <c r="G48" s="47"/>
      <c r="H48" s="47"/>
      <c r="I48" s="40"/>
      <c r="J48" s="40">
        <v>598</v>
      </c>
      <c r="K48" s="20">
        <v>2015</v>
      </c>
      <c r="L48" s="21">
        <v>0.62509999999999999</v>
      </c>
      <c r="M48" s="110">
        <f>IF(L48="",I48,(MIN(J48,(L48*1.6*J48))))</f>
        <v>598</v>
      </c>
      <c r="N48" s="111">
        <f>IF(M48=0,0,(M48/J48))</f>
        <v>1</v>
      </c>
    </row>
    <row r="49" spans="2:14">
      <c r="B49" s="73">
        <v>127655</v>
      </c>
      <c r="C49" s="23" t="s">
        <v>1642</v>
      </c>
      <c r="D49" s="109">
        <f>SUMIF(B$3:B$3844,B49,M$3:M$3844)/(SUMIF(B$3:B$3844,B49,J$3:J$3844))</f>
        <v>0.64099779280383984</v>
      </c>
      <c r="E49" s="23">
        <v>35767</v>
      </c>
      <c r="F49" s="46" t="s">
        <v>1682</v>
      </c>
      <c r="G49" s="23"/>
      <c r="H49" s="23"/>
      <c r="I49" s="41">
        <v>263</v>
      </c>
      <c r="J49" s="41">
        <v>630</v>
      </c>
      <c r="K49" s="20"/>
      <c r="L49" s="21"/>
      <c r="M49" s="110">
        <f>IF(L49="",I49,(MIN(J49,(L49*1.6*J49))))</f>
        <v>263</v>
      </c>
      <c r="N49" s="111">
        <f>IF(M49=0,0,(M49/J49))</f>
        <v>0.41746031746031748</v>
      </c>
    </row>
    <row r="50" spans="2:14">
      <c r="B50" s="72">
        <v>127655</v>
      </c>
      <c r="C50" s="47" t="s">
        <v>1642</v>
      </c>
      <c r="D50" s="109">
        <f>SUMIF(B$3:B$3844,B50,M$3:M$3844)/(SUMIF(B$3:B$3844,B50,J$3:J$3844))</f>
        <v>0.64099779280383984</v>
      </c>
      <c r="E50" s="47">
        <v>35766</v>
      </c>
      <c r="F50" s="48" t="s">
        <v>1683</v>
      </c>
      <c r="G50" s="47"/>
      <c r="H50" s="47"/>
      <c r="I50" s="40">
        <v>321</v>
      </c>
      <c r="J50" s="40">
        <v>755</v>
      </c>
      <c r="K50" s="20"/>
      <c r="L50" s="21"/>
      <c r="M50" s="110">
        <f>IF(L50="",I50,(MIN(J50,(L50*1.6*J50))))</f>
        <v>321</v>
      </c>
      <c r="N50" s="111">
        <f>IF(M50=0,0,(M50/J50))</f>
        <v>0.42516556291390728</v>
      </c>
    </row>
    <row r="51" spans="2:14">
      <c r="B51" s="73">
        <v>127655</v>
      </c>
      <c r="C51" s="23" t="s">
        <v>1642</v>
      </c>
      <c r="D51" s="109">
        <f>SUMIF(B$3:B$3844,B51,M$3:M$3844)/(SUMIF(B$3:B$3844,B51,J$3:J$3844))</f>
        <v>0.64099779280383984</v>
      </c>
      <c r="E51" s="23">
        <v>16080243</v>
      </c>
      <c r="F51" s="46" t="s">
        <v>1684</v>
      </c>
      <c r="G51" s="23"/>
      <c r="H51" s="23"/>
      <c r="I51" s="41">
        <v>18</v>
      </c>
      <c r="J51" s="41">
        <v>35</v>
      </c>
      <c r="K51" s="20"/>
      <c r="L51" s="21"/>
      <c r="M51" s="110">
        <f>IF(L51="",I51,(MIN(J51,(L51*1.6*J51))))</f>
        <v>18</v>
      </c>
      <c r="N51" s="111">
        <f>IF(M51=0,0,(M51/J51))</f>
        <v>0.51428571428571423</v>
      </c>
    </row>
    <row r="52" spans="2:14">
      <c r="B52" s="72">
        <v>127655</v>
      </c>
      <c r="C52" s="47" t="s">
        <v>1642</v>
      </c>
      <c r="D52" s="109">
        <f>SUMIF(B$3:B$3844,B52,M$3:M$3844)/(SUMIF(B$3:B$3844,B52,J$3:J$3844))</f>
        <v>0.64099779280383984</v>
      </c>
      <c r="E52" s="47">
        <v>183148</v>
      </c>
      <c r="F52" s="48" t="s">
        <v>1685</v>
      </c>
      <c r="G52" s="47"/>
      <c r="H52" s="47"/>
      <c r="I52" s="40">
        <v>14</v>
      </c>
      <c r="J52" s="40">
        <v>44</v>
      </c>
      <c r="K52" s="20"/>
      <c r="L52" s="21"/>
      <c r="M52" s="110">
        <f>IF(L52="",I52,(MIN(J52,(L52*1.6*J52))))</f>
        <v>14</v>
      </c>
      <c r="N52" s="111">
        <f>IF(M52=0,0,(M52/J52))</f>
        <v>0.31818181818181818</v>
      </c>
    </row>
    <row r="53" spans="2:14">
      <c r="B53" s="120">
        <v>127655</v>
      </c>
      <c r="C53" s="121" t="s">
        <v>1642</v>
      </c>
      <c r="D53" s="109">
        <f>SUMIF(B$3:B$3844,B53,M$3:M$3844)/(SUMIF(B$3:B$3844,B53,J$3:J$3844))</f>
        <v>0.64099779280383984</v>
      </c>
      <c r="E53" s="122">
        <v>35741</v>
      </c>
      <c r="F53" s="115" t="s">
        <v>2447</v>
      </c>
      <c r="G53" s="116"/>
      <c r="H53" s="117"/>
      <c r="I53" s="40">
        <v>0</v>
      </c>
      <c r="J53" s="40">
        <v>0</v>
      </c>
      <c r="K53" s="118"/>
      <c r="L53" s="119"/>
      <c r="M53" s="110">
        <f>IF(L53="",I53,(MIN(J53,(L53*1.6*J53))))</f>
        <v>0</v>
      </c>
      <c r="N53" s="111">
        <f>IF(M53=0,0,(M53/J53))</f>
        <v>0</v>
      </c>
    </row>
    <row r="54" spans="2:14" ht="30">
      <c r="B54" s="73">
        <v>127655</v>
      </c>
      <c r="C54" s="23" t="s">
        <v>1642</v>
      </c>
      <c r="D54" s="109">
        <f>SUMIF(B$3:B$3844,B54,M$3:M$3844)/(SUMIF(B$3:B$3844,B54,J$3:J$3844))</f>
        <v>0.64099779280383984</v>
      </c>
      <c r="E54" s="23">
        <v>35745</v>
      </c>
      <c r="F54" s="46" t="s">
        <v>1686</v>
      </c>
      <c r="G54" s="23"/>
      <c r="H54" s="23"/>
      <c r="I54" s="41">
        <v>144</v>
      </c>
      <c r="J54" s="41">
        <v>251</v>
      </c>
      <c r="K54" s="20"/>
      <c r="L54" s="21"/>
      <c r="M54" s="110">
        <f>IF(L54="",I54,(MIN(J54,(L54*1.6*J54))))</f>
        <v>144</v>
      </c>
      <c r="N54" s="111">
        <f>IF(M54=0,0,(M54/J54))</f>
        <v>0.57370517928286857</v>
      </c>
    </row>
    <row r="55" spans="2:14">
      <c r="B55" s="72">
        <v>127655</v>
      </c>
      <c r="C55" s="47" t="s">
        <v>1642</v>
      </c>
      <c r="D55" s="109">
        <f>SUMIF(B$3:B$3844,B55,M$3:M$3844)/(SUMIF(B$3:B$3844,B55,J$3:J$3844))</f>
        <v>0.64099779280383984</v>
      </c>
      <c r="E55" s="47">
        <v>35711</v>
      </c>
      <c r="F55" s="48" t="s">
        <v>1687</v>
      </c>
      <c r="G55" s="47"/>
      <c r="H55" s="47"/>
      <c r="I55" s="40">
        <v>440</v>
      </c>
      <c r="J55" s="40">
        <v>1154</v>
      </c>
      <c r="K55" s="20"/>
      <c r="L55" s="21"/>
      <c r="M55" s="110">
        <f>IF(L55="",I55,(MIN(J55,(L55*1.6*J55))))</f>
        <v>440</v>
      </c>
      <c r="N55" s="111">
        <f>IF(M55=0,0,(M55/J55))</f>
        <v>0.38128249566724437</v>
      </c>
    </row>
    <row r="56" spans="2:14">
      <c r="B56" s="73">
        <v>127655</v>
      </c>
      <c r="C56" s="23" t="s">
        <v>1642</v>
      </c>
      <c r="D56" s="109">
        <f>SUMIF(B$3:B$3844,B56,M$3:M$3844)/(SUMIF(B$3:B$3844,B56,J$3:J$3844))</f>
        <v>0.64099779280383984</v>
      </c>
      <c r="E56" s="23">
        <v>235342</v>
      </c>
      <c r="F56" s="46" t="s">
        <v>1688</v>
      </c>
      <c r="G56" s="23"/>
      <c r="H56" s="23"/>
      <c r="I56" s="41">
        <v>25</v>
      </c>
      <c r="J56" s="41">
        <v>214</v>
      </c>
      <c r="K56" s="20"/>
      <c r="L56" s="21"/>
      <c r="M56" s="110">
        <f>IF(L56="",I56,(MIN(J56,(L56*1.6*J56))))</f>
        <v>25</v>
      </c>
      <c r="N56" s="111">
        <f>IF(M56=0,0,(M56/J56))</f>
        <v>0.11682242990654206</v>
      </c>
    </row>
    <row r="57" spans="2:14">
      <c r="B57" s="72">
        <v>127655</v>
      </c>
      <c r="C57" s="47" t="s">
        <v>1642</v>
      </c>
      <c r="D57" s="109">
        <f>SUMIF(B$3:B$3844,B57,M$3:M$3844)/(SUMIF(B$3:B$3844,B57,J$3:J$3844))</f>
        <v>0.64099779280383984</v>
      </c>
      <c r="E57" s="47">
        <v>35662</v>
      </c>
      <c r="F57" s="48" t="s">
        <v>1689</v>
      </c>
      <c r="G57" s="47"/>
      <c r="H57" s="47"/>
      <c r="I57" s="40"/>
      <c r="J57" s="40">
        <v>159</v>
      </c>
      <c r="K57" s="20">
        <v>2015</v>
      </c>
      <c r="L57" s="21">
        <v>0.62509999999999999</v>
      </c>
      <c r="M57" s="110">
        <f>IF(L57="",I57,(MIN(J57,(L57*1.6*J57))))</f>
        <v>159</v>
      </c>
      <c r="N57" s="111">
        <f>IF(M57=0,0,(M57/J57))</f>
        <v>1</v>
      </c>
    </row>
    <row r="58" spans="2:14">
      <c r="B58" s="73">
        <v>127655</v>
      </c>
      <c r="C58" s="23" t="s">
        <v>1642</v>
      </c>
      <c r="D58" s="109">
        <f>SUMIF(B$3:B$3844,B58,M$3:M$3844)/(SUMIF(B$3:B$3844,B58,J$3:J$3844))</f>
        <v>0.64099779280383984</v>
      </c>
      <c r="E58" s="23">
        <v>35700</v>
      </c>
      <c r="F58" s="46" t="s">
        <v>216</v>
      </c>
      <c r="G58" s="23"/>
      <c r="H58" s="23"/>
      <c r="I58" s="41"/>
      <c r="J58" s="41">
        <v>537</v>
      </c>
      <c r="K58" s="20">
        <v>2015</v>
      </c>
      <c r="L58" s="21">
        <v>0.62509999999999999</v>
      </c>
      <c r="M58" s="110">
        <f>IF(L58="",I58,(MIN(J58,(L58*1.6*J58))))</f>
        <v>537</v>
      </c>
      <c r="N58" s="111">
        <f>IF(M58=0,0,(M58/J58))</f>
        <v>1</v>
      </c>
    </row>
    <row r="59" spans="2:14">
      <c r="B59" s="72">
        <v>127655</v>
      </c>
      <c r="C59" s="47" t="s">
        <v>1642</v>
      </c>
      <c r="D59" s="109">
        <f>SUMIF(B$3:B$3844,B59,M$3:M$3844)/(SUMIF(B$3:B$3844,B59,J$3:J$3844))</f>
        <v>0.64099779280383984</v>
      </c>
      <c r="E59" s="47">
        <v>206079</v>
      </c>
      <c r="F59" s="48" t="s">
        <v>1690</v>
      </c>
      <c r="G59" s="47"/>
      <c r="H59" s="47"/>
      <c r="I59" s="40">
        <v>46</v>
      </c>
      <c r="J59" s="40">
        <v>109</v>
      </c>
      <c r="K59" s="20"/>
      <c r="L59" s="21"/>
      <c r="M59" s="110">
        <f>IF(L59="",I59,(MIN(J59,(L59*1.6*J59))))</f>
        <v>46</v>
      </c>
      <c r="N59" s="111">
        <f>IF(M59=0,0,(M59/J59))</f>
        <v>0.42201834862385323</v>
      </c>
    </row>
    <row r="60" spans="2:14">
      <c r="B60" s="73">
        <v>127655</v>
      </c>
      <c r="C60" s="23" t="s">
        <v>1642</v>
      </c>
      <c r="D60" s="109">
        <f>SUMIF(B$3:B$3844,B60,M$3:M$3844)/(SUMIF(B$3:B$3844,B60,J$3:J$3844))</f>
        <v>0.64099779280383984</v>
      </c>
      <c r="E60" s="23">
        <v>231711</v>
      </c>
      <c r="F60" s="46" t="s">
        <v>1691</v>
      </c>
      <c r="G60" s="23"/>
      <c r="H60" s="23"/>
      <c r="I60" s="41">
        <v>178</v>
      </c>
      <c r="J60" s="41">
        <v>235</v>
      </c>
      <c r="K60" s="20"/>
      <c r="L60" s="21"/>
      <c r="M60" s="110">
        <f>IF(L60="",I60,(MIN(J60,(L60*1.6*J60))))</f>
        <v>178</v>
      </c>
      <c r="N60" s="111">
        <f>IF(M60=0,0,(M60/J60))</f>
        <v>0.75744680851063828</v>
      </c>
    </row>
    <row r="61" spans="2:14">
      <c r="B61" s="73">
        <v>127655</v>
      </c>
      <c r="C61" s="23" t="s">
        <v>1642</v>
      </c>
      <c r="D61" s="109">
        <f>SUMIF(B$3:B$3844,B61,M$3:M$3844)/(SUMIF(B$3:B$3844,B61,J$3:J$3844))</f>
        <v>0.64099779280383984</v>
      </c>
      <c r="E61" s="23">
        <v>35706</v>
      </c>
      <c r="F61" s="46" t="s">
        <v>1692</v>
      </c>
      <c r="G61" s="23"/>
      <c r="H61" s="23"/>
      <c r="I61" s="41"/>
      <c r="J61" s="41">
        <v>300</v>
      </c>
      <c r="K61" s="20">
        <v>2015</v>
      </c>
      <c r="L61" s="21">
        <v>0.62509999999999999</v>
      </c>
      <c r="M61" s="110">
        <f>IF(L61="",I61,(MIN(J61,(L61*1.6*J61))))</f>
        <v>300</v>
      </c>
      <c r="N61" s="111">
        <f>IF(M61=0,0,(M61/J61))</f>
        <v>1</v>
      </c>
    </row>
    <row r="62" spans="2:14">
      <c r="B62" s="72">
        <v>127655</v>
      </c>
      <c r="C62" s="47" t="s">
        <v>1642</v>
      </c>
      <c r="D62" s="109">
        <f>SUMIF(B$3:B$3844,B62,M$3:M$3844)/(SUMIF(B$3:B$3844,B62,J$3:J$3844))</f>
        <v>0.64099779280383984</v>
      </c>
      <c r="E62" s="47">
        <v>35709</v>
      </c>
      <c r="F62" s="48" t="s">
        <v>1693</v>
      </c>
      <c r="G62" s="47"/>
      <c r="H62" s="47"/>
      <c r="I62" s="40"/>
      <c r="J62" s="40">
        <v>452</v>
      </c>
      <c r="K62" s="20">
        <v>2015</v>
      </c>
      <c r="L62" s="21">
        <v>0.62509999999999999</v>
      </c>
      <c r="M62" s="110">
        <f>IF(L62="",I62,(MIN(J62,(L62*1.6*J62))))</f>
        <v>452</v>
      </c>
      <c r="N62" s="111">
        <f>IF(M62=0,0,(M62/J62))</f>
        <v>1</v>
      </c>
    </row>
    <row r="63" spans="2:14">
      <c r="B63" s="73">
        <v>127655</v>
      </c>
      <c r="C63" s="23" t="s">
        <v>1642</v>
      </c>
      <c r="D63" s="109">
        <f>SUMIF(B$3:B$3844,B63,M$3:M$3844)/(SUMIF(B$3:B$3844,B63,J$3:J$3844))</f>
        <v>0.64099779280383984</v>
      </c>
      <c r="E63" s="23">
        <v>35682</v>
      </c>
      <c r="F63" s="46" t="s">
        <v>1365</v>
      </c>
      <c r="G63" s="23"/>
      <c r="H63" s="23"/>
      <c r="I63" s="41"/>
      <c r="J63" s="41">
        <v>940</v>
      </c>
      <c r="K63" s="20">
        <v>2015</v>
      </c>
      <c r="L63" s="21">
        <v>0.62509999999999999</v>
      </c>
      <c r="M63" s="110">
        <f>IF(L63="",I63,(MIN(J63,(L63*1.6*J63))))</f>
        <v>940</v>
      </c>
      <c r="N63" s="111">
        <f>IF(M63=0,0,(M63/J63))</f>
        <v>1</v>
      </c>
    </row>
    <row r="64" spans="2:14">
      <c r="B64" s="72">
        <v>127655</v>
      </c>
      <c r="C64" s="47" t="s">
        <v>1642</v>
      </c>
      <c r="D64" s="109">
        <f>SUMIF(B$3:B$3844,B64,M$3:M$3844)/(SUMIF(B$3:B$3844,B64,J$3:J$3844))</f>
        <v>0.64099779280383984</v>
      </c>
      <c r="E64" s="47">
        <v>35754</v>
      </c>
      <c r="F64" s="48" t="s">
        <v>1694</v>
      </c>
      <c r="G64" s="47"/>
      <c r="H64" s="47"/>
      <c r="I64" s="40">
        <v>223</v>
      </c>
      <c r="J64" s="40">
        <v>717</v>
      </c>
      <c r="K64" s="20"/>
      <c r="L64" s="21"/>
      <c r="M64" s="110">
        <f>IF(L64="",I64,(MIN(J64,(L64*1.6*J64))))</f>
        <v>223</v>
      </c>
      <c r="N64" s="111">
        <f>IF(M64=0,0,(M64/J64))</f>
        <v>0.31101813110181309</v>
      </c>
    </row>
    <row r="65" spans="2:14">
      <c r="B65" s="73">
        <v>127561</v>
      </c>
      <c r="C65" s="23" t="str">
        <f>"BAKER"</f>
        <v>BAKER</v>
      </c>
      <c r="D65" s="123">
        <f>SUMIF(B$3:B$3844,B65,M$3:M$3844)/(SUMIF(B$3:B$3844,B65,J$3:J$3844))</f>
        <v>0.72655641671665661</v>
      </c>
      <c r="E65" s="23">
        <v>34807</v>
      </c>
      <c r="F65" s="46" t="str">
        <f>"BAKER COUNTY MIDDLE SCHOOL"</f>
        <v>BAKER COUNTY MIDDLE SCHOOL</v>
      </c>
      <c r="G65" s="23"/>
      <c r="H65" s="23"/>
      <c r="I65" s="41">
        <v>681</v>
      </c>
      <c r="J65" s="41">
        <v>1110</v>
      </c>
      <c r="K65" s="20"/>
      <c r="L65" s="21"/>
      <c r="M65" s="110">
        <f>IF(L65="",I65,(MIN(J65,(L65*1.6*J65))))</f>
        <v>681</v>
      </c>
      <c r="N65" s="111">
        <f>IF(M65=0,0,(M65/J65))</f>
        <v>0.61351351351351346</v>
      </c>
    </row>
    <row r="66" spans="2:14">
      <c r="B66" s="72">
        <v>127561</v>
      </c>
      <c r="C66" s="47" t="str">
        <f>"BAKER"</f>
        <v>BAKER</v>
      </c>
      <c r="D66" s="123">
        <f>SUMIF(B$3:B$3844,B66,M$3:M$3844)/(SUMIF(B$3:B$3844,B66,J$3:J$3844))</f>
        <v>0.72655641671665661</v>
      </c>
      <c r="E66" s="47">
        <v>34765</v>
      </c>
      <c r="F66" s="48" t="s">
        <v>1695</v>
      </c>
      <c r="G66" s="47"/>
      <c r="H66" s="47"/>
      <c r="I66" s="40">
        <v>623</v>
      </c>
      <c r="J66" s="40">
        <v>1349</v>
      </c>
      <c r="K66" s="20"/>
      <c r="L66" s="21"/>
      <c r="M66" s="110">
        <f>IF(L66="",I66,(MIN(J66,(L66*1.6*J66))))</f>
        <v>623</v>
      </c>
      <c r="N66" s="111">
        <f>IF(M66=0,0,(M66/J66))</f>
        <v>0.46182357301704968</v>
      </c>
    </row>
    <row r="67" spans="2:14">
      <c r="B67" s="73">
        <v>127561</v>
      </c>
      <c r="C67" s="23" t="str">
        <f>"BAKER"</f>
        <v>BAKER</v>
      </c>
      <c r="D67" s="123">
        <f>SUMIF(B$3:B$3844,B67,M$3:M$3844)/(SUMIF(B$3:B$3844,B67,J$3:J$3844))</f>
        <v>0.72655641671665661</v>
      </c>
      <c r="E67" s="23">
        <v>34804</v>
      </c>
      <c r="F67" s="46" t="s">
        <v>1696</v>
      </c>
      <c r="G67" s="23"/>
      <c r="H67" s="23"/>
      <c r="I67" s="41"/>
      <c r="J67" s="41">
        <v>773</v>
      </c>
      <c r="K67" s="20">
        <v>2015</v>
      </c>
      <c r="L67" s="21">
        <v>0.54220000000000002</v>
      </c>
      <c r="M67" s="110">
        <f>IF(L67="",I67,(MIN(J67,(L67*1.6*J67))))</f>
        <v>670.59296000000006</v>
      </c>
      <c r="N67" s="111">
        <f>IF(M67=0,0,(M67/J67))</f>
        <v>0.86752000000000007</v>
      </c>
    </row>
    <row r="68" spans="2:14">
      <c r="B68" s="72">
        <v>127561</v>
      </c>
      <c r="C68" s="47" t="str">
        <f>"BAKER"</f>
        <v>BAKER</v>
      </c>
      <c r="D68" s="123">
        <f>SUMIF(B$3:B$3844,B68,M$3:M$3844)/(SUMIF(B$3:B$3844,B68,J$3:J$3844))</f>
        <v>0.72655641671665661</v>
      </c>
      <c r="E68" s="47">
        <v>34806</v>
      </c>
      <c r="F68" s="48" t="str">
        <f>"MACCLENNY ELEMENTARY SCHOOL"</f>
        <v>MACCLENNY ELEMENTARY SCHOOL</v>
      </c>
      <c r="G68" s="47"/>
      <c r="H68" s="47"/>
      <c r="I68" s="40"/>
      <c r="J68" s="40">
        <v>636</v>
      </c>
      <c r="K68" s="20">
        <v>2015</v>
      </c>
      <c r="L68" s="21">
        <v>0.53859999999999997</v>
      </c>
      <c r="M68" s="110">
        <f>IF(L68="",I68,(MIN(J68,(L68*1.6*J68))))</f>
        <v>548.07935999999995</v>
      </c>
      <c r="N68" s="111">
        <f>IF(M68=0,0,(M68/J68))</f>
        <v>0.86175999999999997</v>
      </c>
    </row>
    <row r="69" spans="2:14">
      <c r="B69" s="73">
        <v>127561</v>
      </c>
      <c r="C69" s="23" t="str">
        <f>"BAKER"</f>
        <v>BAKER</v>
      </c>
      <c r="D69" s="123">
        <f>SUMIF(B$3:B$3844,B69,M$3:M$3844)/(SUMIF(B$3:B$3844,B69,J$3:J$3844))</f>
        <v>0.72655641671665661</v>
      </c>
      <c r="E69" s="23">
        <v>16035672</v>
      </c>
      <c r="F69" s="46" t="str">
        <f>"PREK/KINDERGARTEN CENTER"</f>
        <v>PREK/KINDERGARTEN CENTER</v>
      </c>
      <c r="G69" s="23"/>
      <c r="H69" s="23"/>
      <c r="I69" s="41"/>
      <c r="J69" s="41">
        <v>539</v>
      </c>
      <c r="K69" s="20">
        <v>2015</v>
      </c>
      <c r="L69" s="21">
        <v>0.59929999999999994</v>
      </c>
      <c r="M69" s="110">
        <f>IF(L69="",I69,(MIN(J69,(L69*1.6*J69))))</f>
        <v>516.83632</v>
      </c>
      <c r="N69" s="111">
        <f>IF(M69=0,0,(M69/J69))</f>
        <v>0.95887999999999995</v>
      </c>
    </row>
    <row r="70" spans="2:14">
      <c r="B70" s="72">
        <v>127561</v>
      </c>
      <c r="C70" s="47" t="str">
        <f>"BAKER"</f>
        <v>BAKER</v>
      </c>
      <c r="D70" s="123">
        <f>SUMIF(B$3:B$3844,B70,M$3:M$3844)/(SUMIF(B$3:B$3844,B70,J$3:J$3844))</f>
        <v>0.72655641671665661</v>
      </c>
      <c r="E70" s="47">
        <v>34764</v>
      </c>
      <c r="F70" s="48" t="str">
        <f>"WESTSIDE ELEMENTARY SCHOOL"</f>
        <v>WESTSIDE ELEMENTARY SCHOOL</v>
      </c>
      <c r="G70" s="47"/>
      <c r="H70" s="47"/>
      <c r="I70" s="40"/>
      <c r="J70" s="40">
        <v>594</v>
      </c>
      <c r="K70" s="20">
        <v>2015</v>
      </c>
      <c r="L70" s="21">
        <v>0.62690000000000001</v>
      </c>
      <c r="M70" s="110">
        <f>IF(L70="",I70,(MIN(J70,(L70*1.6*J70))))</f>
        <v>594</v>
      </c>
      <c r="N70" s="111">
        <f>IF(M70=0,0,(M70/J70))</f>
        <v>1</v>
      </c>
    </row>
    <row r="71" spans="2:14">
      <c r="B71" s="73">
        <v>127622</v>
      </c>
      <c r="C71" s="23" t="s">
        <v>1697</v>
      </c>
      <c r="D71" s="123">
        <f>SUMIF(B$3:B$3844,B71,M$3:M$3844)/(SUMIF(B$3:B$3844,B71,J$3:J$3844))</f>
        <v>0.52968230382792048</v>
      </c>
      <c r="E71" s="23">
        <v>35446</v>
      </c>
      <c r="F71" s="46" t="s">
        <v>1698</v>
      </c>
      <c r="G71" s="23"/>
      <c r="H71" s="23"/>
      <c r="I71" s="41">
        <v>550</v>
      </c>
      <c r="J71" s="41">
        <v>1721</v>
      </c>
      <c r="K71" s="20"/>
      <c r="L71" s="21"/>
      <c r="M71" s="110">
        <f>IF(L71="",I71,(MIN(J71,(L71*1.6*J71))))</f>
        <v>550</v>
      </c>
      <c r="N71" s="111">
        <f>IF(M71=0,0,(M71/J71))</f>
        <v>0.31958163858221966</v>
      </c>
    </row>
    <row r="72" spans="2:14">
      <c r="B72" s="73">
        <v>127622</v>
      </c>
      <c r="C72" s="47" t="s">
        <v>1697</v>
      </c>
      <c r="D72" s="123">
        <f>SUMIF(B$3:B$3844,B72,M$3:M$3844)/(SUMIF(B$3:B$3844,B72,J$3:J$3844))</f>
        <v>0.52968230382792048</v>
      </c>
      <c r="E72" s="47">
        <v>213057</v>
      </c>
      <c r="F72" s="48" t="s">
        <v>1699</v>
      </c>
      <c r="G72" s="47"/>
      <c r="H72" s="47"/>
      <c r="I72" s="40">
        <v>9</v>
      </c>
      <c r="J72" s="40">
        <v>26</v>
      </c>
      <c r="K72" s="20"/>
      <c r="L72" s="21"/>
      <c r="M72" s="110">
        <f>IF(L72="",I72,(MIN(J72,(L72*1.6*J72))))</f>
        <v>9</v>
      </c>
      <c r="N72" s="111">
        <f>IF(M72=0,0,(M72/J72))</f>
        <v>0.34615384615384615</v>
      </c>
    </row>
    <row r="73" spans="2:14">
      <c r="B73" s="73">
        <v>127622</v>
      </c>
      <c r="C73" s="23" t="s">
        <v>1697</v>
      </c>
      <c r="D73" s="123">
        <f>SUMIF(B$3:B$3844,B73,M$3:M$3844)/(SUMIF(B$3:B$3844,B73,J$3:J$3844))</f>
        <v>0.52968230382792048</v>
      </c>
      <c r="E73" s="23">
        <v>16058456</v>
      </c>
      <c r="F73" s="46" t="s">
        <v>1700</v>
      </c>
      <c r="G73" s="23"/>
      <c r="H73" s="23"/>
      <c r="I73" s="41">
        <v>500</v>
      </c>
      <c r="J73" s="41">
        <v>1131</v>
      </c>
      <c r="K73" s="20"/>
      <c r="L73" s="21"/>
      <c r="M73" s="110">
        <f>IF(L73="",I73,(MIN(J73,(L73*1.6*J73))))</f>
        <v>500</v>
      </c>
      <c r="N73" s="111">
        <f>IF(M73=0,0,(M73/J73))</f>
        <v>0.44208664898320071</v>
      </c>
    </row>
    <row r="74" spans="2:14">
      <c r="B74" s="73">
        <v>127622</v>
      </c>
      <c r="C74" s="47" t="s">
        <v>1697</v>
      </c>
      <c r="D74" s="123">
        <f>SUMIF(B$3:B$3844,B74,M$3:M$3844)/(SUMIF(B$3:B$3844,B74,J$3:J$3844))</f>
        <v>0.52968230382792048</v>
      </c>
      <c r="E74" s="47">
        <v>16068475</v>
      </c>
      <c r="F74" s="48" t="s">
        <v>1701</v>
      </c>
      <c r="G74" s="47"/>
      <c r="H74" s="47"/>
      <c r="I74" s="40"/>
      <c r="J74" s="40">
        <v>103</v>
      </c>
      <c r="K74" s="20">
        <v>2014</v>
      </c>
      <c r="L74" s="21">
        <v>0.85340000000000005</v>
      </c>
      <c r="M74" s="110">
        <f>IF(L74="",I74,(MIN(J74,(L74*1.6*J74))))</f>
        <v>103</v>
      </c>
      <c r="N74" s="111">
        <f>IF(M74=0,0,(M74/J74))</f>
        <v>1</v>
      </c>
    </row>
    <row r="75" spans="2:14">
      <c r="B75" s="73">
        <v>127622</v>
      </c>
      <c r="C75" s="23" t="s">
        <v>1697</v>
      </c>
      <c r="D75" s="123">
        <f>SUMIF(B$3:B$3844,B75,M$3:M$3844)/(SUMIF(B$3:B$3844,B75,J$3:J$3844))</f>
        <v>0.52968230382792048</v>
      </c>
      <c r="E75" s="23">
        <v>35404</v>
      </c>
      <c r="F75" s="46" t="s">
        <v>1702</v>
      </c>
      <c r="G75" s="23"/>
      <c r="H75" s="23"/>
      <c r="I75" s="41"/>
      <c r="J75" s="41">
        <v>480</v>
      </c>
      <c r="K75" s="20">
        <v>2014</v>
      </c>
      <c r="L75" s="21">
        <v>0.76870000000000005</v>
      </c>
      <c r="M75" s="110">
        <f>IF(L75="",I75,(MIN(J75,(L75*1.6*J75))))</f>
        <v>480</v>
      </c>
      <c r="N75" s="111">
        <f>IF(M75=0,0,(M75/J75))</f>
        <v>1</v>
      </c>
    </row>
    <row r="76" spans="2:14">
      <c r="B76" s="73">
        <v>127622</v>
      </c>
      <c r="C76" s="47" t="s">
        <v>1697</v>
      </c>
      <c r="D76" s="123">
        <f>SUMIF(B$3:B$3844,B76,M$3:M$3844)/(SUMIF(B$3:B$3844,B76,J$3:J$3844))</f>
        <v>0.52968230382792048</v>
      </c>
      <c r="E76" s="47">
        <v>212747</v>
      </c>
      <c r="F76" s="48" t="s">
        <v>1703</v>
      </c>
      <c r="G76" s="47"/>
      <c r="H76" s="47"/>
      <c r="I76" s="40">
        <v>711</v>
      </c>
      <c r="J76" s="40">
        <v>1161</v>
      </c>
      <c r="K76" s="20"/>
      <c r="L76" s="21"/>
      <c r="M76" s="110">
        <f>IF(L76="",I76,(MIN(J76,(L76*1.6*J76))))</f>
        <v>711</v>
      </c>
      <c r="N76" s="111">
        <f>IF(M76=0,0,(M76/J76))</f>
        <v>0.61240310077519378</v>
      </c>
    </row>
    <row r="77" spans="2:14">
      <c r="B77" s="73">
        <v>127622</v>
      </c>
      <c r="C77" s="23" t="s">
        <v>1697</v>
      </c>
      <c r="D77" s="123">
        <f>SUMIF(B$3:B$3844,B77,M$3:M$3844)/(SUMIF(B$3:B$3844,B77,J$3:J$3844))</f>
        <v>0.52968230382792048</v>
      </c>
      <c r="E77" s="23">
        <v>16058458</v>
      </c>
      <c r="F77" s="46" t="s">
        <v>1704</v>
      </c>
      <c r="G77" s="23"/>
      <c r="H77" s="23"/>
      <c r="I77" s="41">
        <v>315</v>
      </c>
      <c r="J77" s="41">
        <v>762</v>
      </c>
      <c r="K77" s="20"/>
      <c r="L77" s="21"/>
      <c r="M77" s="110">
        <f>IF(L77="",I77,(MIN(J77,(L77*1.6*J77))))</f>
        <v>315</v>
      </c>
      <c r="N77" s="111">
        <f>IF(M77=0,0,(M77/J77))</f>
        <v>0.41338582677165353</v>
      </c>
    </row>
    <row r="78" spans="2:14">
      <c r="B78" s="73">
        <v>127622</v>
      </c>
      <c r="C78" s="47" t="s">
        <v>1697</v>
      </c>
      <c r="D78" s="123">
        <f>SUMIF(B$3:B$3844,B78,M$3:M$3844)/(SUMIF(B$3:B$3844,B78,J$3:J$3844))</f>
        <v>0.52968230382792048</v>
      </c>
      <c r="E78" s="47">
        <v>35403</v>
      </c>
      <c r="F78" s="48" t="s">
        <v>1705</v>
      </c>
      <c r="G78" s="47"/>
      <c r="H78" s="47"/>
      <c r="I78" s="40">
        <v>541</v>
      </c>
      <c r="J78" s="40">
        <v>811</v>
      </c>
      <c r="K78" s="20"/>
      <c r="L78" s="21"/>
      <c r="M78" s="110">
        <f>IF(L78="",I78,(MIN(J78,(L78*1.6*J78))))</f>
        <v>541</v>
      </c>
      <c r="N78" s="111">
        <f>IF(M78=0,0,(M78/J78))</f>
        <v>0.66707768187422933</v>
      </c>
    </row>
    <row r="79" spans="2:14">
      <c r="B79" s="73">
        <v>127622</v>
      </c>
      <c r="C79" s="23" t="s">
        <v>1697</v>
      </c>
      <c r="D79" s="123">
        <f>SUMIF(B$3:B$3844,B79,M$3:M$3844)/(SUMIF(B$3:B$3844,B79,J$3:J$3844))</f>
        <v>0.52968230382792048</v>
      </c>
      <c r="E79" s="23">
        <v>35406</v>
      </c>
      <c r="F79" s="46" t="s">
        <v>1706</v>
      </c>
      <c r="G79" s="23"/>
      <c r="H79" s="23"/>
      <c r="I79" s="41">
        <v>385</v>
      </c>
      <c r="J79" s="41">
        <v>571</v>
      </c>
      <c r="K79" s="20"/>
      <c r="L79" s="21"/>
      <c r="M79" s="110">
        <f>IF(L79="",I79,(MIN(J79,(L79*1.6*J79))))</f>
        <v>385</v>
      </c>
      <c r="N79" s="111">
        <f>IF(M79=0,0,(M79/J79))</f>
        <v>0.6742556917688266</v>
      </c>
    </row>
    <row r="80" spans="2:14">
      <c r="B80" s="73">
        <v>127622</v>
      </c>
      <c r="C80" s="47" t="s">
        <v>1697</v>
      </c>
      <c r="D80" s="123">
        <f>SUMIF(B$3:B$3844,B80,M$3:M$3844)/(SUMIF(B$3:B$3844,B80,J$3:J$3844))</f>
        <v>0.52968230382792048</v>
      </c>
      <c r="E80" s="47">
        <v>212746</v>
      </c>
      <c r="F80" s="48" t="s">
        <v>1707</v>
      </c>
      <c r="G80" s="47"/>
      <c r="H80" s="47"/>
      <c r="I80" s="40">
        <v>607</v>
      </c>
      <c r="J80" s="40">
        <v>1763</v>
      </c>
      <c r="K80" s="20"/>
      <c r="L80" s="21"/>
      <c r="M80" s="110">
        <f>IF(L80="",I80,(MIN(J80,(L80*1.6*J80))))</f>
        <v>607</v>
      </c>
      <c r="N80" s="111">
        <f>IF(M80=0,0,(M80/J80))</f>
        <v>0.34429948950652295</v>
      </c>
    </row>
    <row r="81" spans="2:14">
      <c r="B81" s="73">
        <v>127622</v>
      </c>
      <c r="C81" s="23" t="s">
        <v>1697</v>
      </c>
      <c r="D81" s="123">
        <f>SUMIF(B$3:B$3844,B81,M$3:M$3844)/(SUMIF(B$3:B$3844,B81,J$3:J$3844))</f>
        <v>0.52968230382792048</v>
      </c>
      <c r="E81" s="23">
        <v>35444</v>
      </c>
      <c r="F81" s="46" t="s">
        <v>1708</v>
      </c>
      <c r="G81" s="23"/>
      <c r="H81" s="23"/>
      <c r="I81" s="41">
        <v>393</v>
      </c>
      <c r="J81" s="41">
        <v>779</v>
      </c>
      <c r="K81" s="20"/>
      <c r="L81" s="21"/>
      <c r="M81" s="110">
        <f>IF(L81="",I81,(MIN(J81,(L81*1.6*J81))))</f>
        <v>393</v>
      </c>
      <c r="N81" s="111">
        <f>IF(M81=0,0,(M81/J81))</f>
        <v>0.50449293966623876</v>
      </c>
    </row>
    <row r="82" spans="2:14">
      <c r="B82" s="73">
        <v>127622</v>
      </c>
      <c r="C82" s="47" t="s">
        <v>1697</v>
      </c>
      <c r="D82" s="123">
        <f>SUMIF(B$3:B$3844,B82,M$3:M$3844)/(SUMIF(B$3:B$3844,B82,J$3:J$3844))</f>
        <v>0.52968230382792048</v>
      </c>
      <c r="E82" s="47">
        <v>35399</v>
      </c>
      <c r="F82" s="48" t="s">
        <v>1709</v>
      </c>
      <c r="G82" s="47"/>
      <c r="H82" s="47"/>
      <c r="I82" s="40">
        <v>103</v>
      </c>
      <c r="J82" s="40">
        <v>144</v>
      </c>
      <c r="K82" s="20"/>
      <c r="L82" s="21"/>
      <c r="M82" s="110">
        <f>IF(L82="",I82,(MIN(J82,(L82*1.6*J82))))</f>
        <v>103</v>
      </c>
      <c r="N82" s="111">
        <f>IF(M82=0,0,(M82/J82))</f>
        <v>0.71527777777777779</v>
      </c>
    </row>
    <row r="83" spans="2:14">
      <c r="B83" s="73">
        <v>127622</v>
      </c>
      <c r="C83" s="23" t="s">
        <v>1697</v>
      </c>
      <c r="D83" s="123">
        <f>SUMIF(B$3:B$3844,B83,M$3:M$3844)/(SUMIF(B$3:B$3844,B83,J$3:J$3844))</f>
        <v>0.52968230382792048</v>
      </c>
      <c r="E83" s="23">
        <v>35445</v>
      </c>
      <c r="F83" s="46" t="s">
        <v>1710</v>
      </c>
      <c r="G83" s="23"/>
      <c r="H83" s="23"/>
      <c r="I83" s="41">
        <v>495</v>
      </c>
      <c r="J83" s="41">
        <v>999</v>
      </c>
      <c r="K83" s="20"/>
      <c r="L83" s="21"/>
      <c r="M83" s="110">
        <f>IF(L83="",I83,(MIN(J83,(L83*1.6*J83))))</f>
        <v>495</v>
      </c>
      <c r="N83" s="111">
        <f>IF(M83=0,0,(M83/J83))</f>
        <v>0.49549549549549549</v>
      </c>
    </row>
    <row r="84" spans="2:14">
      <c r="B84" s="73">
        <v>127622</v>
      </c>
      <c r="C84" s="47" t="s">
        <v>1697</v>
      </c>
      <c r="D84" s="123">
        <f>SUMIF(B$3:B$3844,B84,M$3:M$3844)/(SUMIF(B$3:B$3844,B84,J$3:J$3844))</f>
        <v>0.52968230382792048</v>
      </c>
      <c r="E84" s="47">
        <v>160952</v>
      </c>
      <c r="F84" s="48" t="s">
        <v>1711</v>
      </c>
      <c r="G84" s="47"/>
      <c r="H84" s="47"/>
      <c r="I84" s="40">
        <v>107</v>
      </c>
      <c r="J84" s="40">
        <v>128</v>
      </c>
      <c r="K84" s="20"/>
      <c r="L84" s="21"/>
      <c r="M84" s="110">
        <f>IF(L84="",I84,(MIN(J84,(L84*1.6*J84))))</f>
        <v>107</v>
      </c>
      <c r="N84" s="111">
        <f>IF(M84=0,0,(M84/J84))</f>
        <v>0.8359375</v>
      </c>
    </row>
    <row r="85" spans="2:14">
      <c r="B85" s="73">
        <v>127622</v>
      </c>
      <c r="C85" s="23" t="s">
        <v>1697</v>
      </c>
      <c r="D85" s="123">
        <f>SUMIF(B$3:B$3844,B85,M$3:M$3844)/(SUMIF(B$3:B$3844,B85,J$3:J$3844))</f>
        <v>0.52968230382792048</v>
      </c>
      <c r="E85" s="23">
        <v>35400</v>
      </c>
      <c r="F85" s="46" t="s">
        <v>1712</v>
      </c>
      <c r="G85" s="23"/>
      <c r="H85" s="23"/>
      <c r="I85" s="41">
        <v>496</v>
      </c>
      <c r="J85" s="41">
        <v>690</v>
      </c>
      <c r="K85" s="20"/>
      <c r="L85" s="21"/>
      <c r="M85" s="110">
        <f>IF(L85="",I85,(MIN(J85,(L85*1.6*J85))))</f>
        <v>496</v>
      </c>
      <c r="N85" s="111">
        <f>IF(M85=0,0,(M85/J85))</f>
        <v>0.71884057971014492</v>
      </c>
    </row>
    <row r="86" spans="2:14">
      <c r="B86" s="73">
        <v>127622</v>
      </c>
      <c r="C86" s="47" t="s">
        <v>1697</v>
      </c>
      <c r="D86" s="123">
        <f>SUMIF(B$3:B$3844,B86,M$3:M$3844)/(SUMIF(B$3:B$3844,B86,J$3:J$3844))</f>
        <v>0.52968230382792048</v>
      </c>
      <c r="E86" s="47">
        <v>35407</v>
      </c>
      <c r="F86" s="48" t="s">
        <v>1713</v>
      </c>
      <c r="G86" s="47"/>
      <c r="H86" s="47"/>
      <c r="I86" s="40">
        <v>349</v>
      </c>
      <c r="J86" s="40">
        <v>886</v>
      </c>
      <c r="K86" s="20"/>
      <c r="L86" s="21"/>
      <c r="M86" s="110">
        <f>IF(L86="",I86,(MIN(J86,(L86*1.6*J86))))</f>
        <v>349</v>
      </c>
      <c r="N86" s="111">
        <f>IF(M86=0,0,(M86/J86))</f>
        <v>0.39390519187358919</v>
      </c>
    </row>
    <row r="87" spans="2:14">
      <c r="B87" s="73">
        <v>127622</v>
      </c>
      <c r="C87" s="23" t="s">
        <v>1697</v>
      </c>
      <c r="D87" s="123">
        <f>SUMIF(B$3:B$3844,B87,M$3:M$3844)/(SUMIF(B$3:B$3844,B87,J$3:J$3844))</f>
        <v>0.52968230382792048</v>
      </c>
      <c r="E87" s="23">
        <v>35408</v>
      </c>
      <c r="F87" s="46" t="s">
        <v>1714</v>
      </c>
      <c r="G87" s="23"/>
      <c r="H87" s="23"/>
      <c r="I87" s="41">
        <v>271</v>
      </c>
      <c r="J87" s="41">
        <v>420</v>
      </c>
      <c r="K87" s="20"/>
      <c r="L87" s="21"/>
      <c r="M87" s="110">
        <f>IF(L87="",I87,(MIN(J87,(L87*1.6*J87))))</f>
        <v>271</v>
      </c>
      <c r="N87" s="111">
        <f>IF(M87=0,0,(M87/J87))</f>
        <v>0.64523809523809528</v>
      </c>
    </row>
    <row r="88" spans="2:14">
      <c r="B88" s="73">
        <v>127622</v>
      </c>
      <c r="C88" s="47" t="s">
        <v>1697</v>
      </c>
      <c r="D88" s="123">
        <f>SUMIF(B$3:B$3844,B88,M$3:M$3844)/(SUMIF(B$3:B$3844,B88,J$3:J$3844))</f>
        <v>0.52968230382792048</v>
      </c>
      <c r="E88" s="47">
        <v>35409</v>
      </c>
      <c r="F88" s="48" t="s">
        <v>1715</v>
      </c>
      <c r="G88" s="47"/>
      <c r="H88" s="47"/>
      <c r="I88" s="40">
        <v>375</v>
      </c>
      <c r="J88" s="40">
        <v>768</v>
      </c>
      <c r="K88" s="20"/>
      <c r="L88" s="21"/>
      <c r="M88" s="110">
        <f>IF(L88="",I88,(MIN(J88,(L88*1.6*J88))))</f>
        <v>375</v>
      </c>
      <c r="N88" s="111">
        <f>IF(M88=0,0,(M88/J88))</f>
        <v>0.48828125</v>
      </c>
    </row>
    <row r="89" spans="2:14">
      <c r="B89" s="73">
        <v>127622</v>
      </c>
      <c r="C89" s="23" t="s">
        <v>1697</v>
      </c>
      <c r="D89" s="123">
        <f>SUMIF(B$3:B$3844,B89,M$3:M$3844)/(SUMIF(B$3:B$3844,B89,J$3:J$3844))</f>
        <v>0.52968230382792048</v>
      </c>
      <c r="E89" s="23">
        <v>35401</v>
      </c>
      <c r="F89" s="46" t="s">
        <v>1716</v>
      </c>
      <c r="G89" s="23"/>
      <c r="H89" s="23"/>
      <c r="I89" s="41"/>
      <c r="J89" s="41">
        <v>0</v>
      </c>
      <c r="K89" s="20"/>
      <c r="L89" s="21"/>
      <c r="M89" s="110">
        <f>IF(L89="",I89,(MIN(J89,(L89*1.6*J89))))</f>
        <v>0</v>
      </c>
      <c r="N89" s="111">
        <f>IF(M89=0,0,(M89/J89))</f>
        <v>0</v>
      </c>
    </row>
    <row r="90" spans="2:14">
      <c r="B90" s="73">
        <v>127622</v>
      </c>
      <c r="C90" s="47" t="s">
        <v>1697</v>
      </c>
      <c r="D90" s="123">
        <f>SUMIF(B$3:B$3844,B90,M$3:M$3844)/(SUMIF(B$3:B$3844,B90,J$3:J$3844))</f>
        <v>0.52968230382792048</v>
      </c>
      <c r="E90" s="47">
        <v>35480</v>
      </c>
      <c r="F90" s="48" t="s">
        <v>1717</v>
      </c>
      <c r="G90" s="47"/>
      <c r="H90" s="47"/>
      <c r="I90" s="40"/>
      <c r="J90" s="40">
        <v>463</v>
      </c>
      <c r="K90" s="20">
        <v>2014</v>
      </c>
      <c r="L90" s="21">
        <v>0.75650000000000006</v>
      </c>
      <c r="M90" s="110">
        <f>IF(L90="",I90,(MIN(J90,(L90*1.6*J90))))</f>
        <v>463</v>
      </c>
      <c r="N90" s="111">
        <f>IF(M90=0,0,(M90/J90))</f>
        <v>1</v>
      </c>
    </row>
    <row r="91" spans="2:14">
      <c r="B91" s="73">
        <v>127622</v>
      </c>
      <c r="C91" s="23" t="s">
        <v>1697</v>
      </c>
      <c r="D91" s="123">
        <f>SUMIF(B$3:B$3844,B91,M$3:M$3844)/(SUMIF(B$3:B$3844,B91,J$3:J$3844))</f>
        <v>0.52968230382792048</v>
      </c>
      <c r="E91" s="23">
        <v>35410</v>
      </c>
      <c r="F91" s="46" t="s">
        <v>1718</v>
      </c>
      <c r="G91" s="23"/>
      <c r="H91" s="23"/>
      <c r="I91" s="41">
        <v>233</v>
      </c>
      <c r="J91" s="41">
        <v>327</v>
      </c>
      <c r="K91" s="20"/>
      <c r="L91" s="21"/>
      <c r="M91" s="110">
        <f>IF(L91="",I91,(MIN(J91,(L91*1.6*J91))))</f>
        <v>233</v>
      </c>
      <c r="N91" s="111">
        <f>IF(M91=0,0,(M91/J91))</f>
        <v>0.71253822629969421</v>
      </c>
    </row>
    <row r="92" spans="2:14">
      <c r="B92" s="73">
        <v>127570</v>
      </c>
      <c r="C92" s="23" t="s">
        <v>1719</v>
      </c>
      <c r="D92" s="123">
        <f>SUMIF(B$3:B$3844,B92,M$3:M$3844)/(SUMIF(B$3:B$3844,B92,J$3:J$3844))</f>
        <v>1</v>
      </c>
      <c r="E92" s="23">
        <v>34867</v>
      </c>
      <c r="F92" s="46" t="s">
        <v>1720</v>
      </c>
      <c r="G92" s="23"/>
      <c r="H92" s="23"/>
      <c r="I92" s="41"/>
      <c r="J92" s="41">
        <v>801</v>
      </c>
      <c r="K92" s="20">
        <v>2015</v>
      </c>
      <c r="L92" s="21">
        <v>0.63400000000000001</v>
      </c>
      <c r="M92" s="110">
        <f>IF(L92="",I92,(MIN(J92,(L92*1.6*J92))))</f>
        <v>801</v>
      </c>
      <c r="N92" s="111">
        <f>IF(M92=0,0,(M92/J92))</f>
        <v>1</v>
      </c>
    </row>
    <row r="93" spans="2:14">
      <c r="B93" s="73">
        <v>127570</v>
      </c>
      <c r="C93" s="47" t="s">
        <v>1719</v>
      </c>
      <c r="D93" s="123">
        <f>SUMIF(B$3:B$3844,B93,M$3:M$3844)/(SUMIF(B$3:B$3844,B93,J$3:J$3844))</f>
        <v>1</v>
      </c>
      <c r="E93" s="47">
        <v>16047792</v>
      </c>
      <c r="F93" s="48" t="str">
        <f>"BRADFORD INTERVENTION CENTER"</f>
        <v>BRADFORD INTERVENTION CENTER</v>
      </c>
      <c r="G93" s="47"/>
      <c r="H93" s="47"/>
      <c r="I93" s="40"/>
      <c r="J93" s="40">
        <v>75</v>
      </c>
      <c r="K93" s="20">
        <v>2015</v>
      </c>
      <c r="L93" s="21">
        <v>0.79310000000000003</v>
      </c>
      <c r="M93" s="110">
        <f>IF(L93="",I93,(MIN(J93,(L93*1.6*J93))))</f>
        <v>75</v>
      </c>
      <c r="N93" s="111">
        <f>IF(M93=0,0,(M93/J93))</f>
        <v>1</v>
      </c>
    </row>
    <row r="94" spans="2:14">
      <c r="B94" s="73">
        <v>127570</v>
      </c>
      <c r="C94" s="23" t="s">
        <v>1719</v>
      </c>
      <c r="D94" s="123">
        <f>SUMIF(B$3:B$3844,B94,M$3:M$3844)/(SUMIF(B$3:B$3844,B94,J$3:J$3844))</f>
        <v>1</v>
      </c>
      <c r="E94" s="23">
        <v>34866</v>
      </c>
      <c r="F94" s="46" t="str">
        <f>"BRADFORD MIDDLE SCHOOL"</f>
        <v>BRADFORD MIDDLE SCHOOL</v>
      </c>
      <c r="G94" s="23"/>
      <c r="H94" s="23"/>
      <c r="I94" s="41"/>
      <c r="J94" s="41">
        <v>649</v>
      </c>
      <c r="K94" s="20">
        <v>2015</v>
      </c>
      <c r="L94" s="21">
        <v>0.63400000000000001</v>
      </c>
      <c r="M94" s="110">
        <f>IF(L94="",I94,(MIN(J94,(L94*1.6*J94))))</f>
        <v>649</v>
      </c>
      <c r="N94" s="111">
        <f>IF(M94=0,0,(M94/J94))</f>
        <v>1</v>
      </c>
    </row>
    <row r="95" spans="2:14">
      <c r="B95" s="73">
        <v>127570</v>
      </c>
      <c r="C95" s="47" t="s">
        <v>1719</v>
      </c>
      <c r="D95" s="123">
        <f>SUMIF(B$3:B$3844,B95,M$3:M$3844)/(SUMIF(B$3:B$3844,B95,J$3:J$3844))</f>
        <v>1</v>
      </c>
      <c r="E95" s="47">
        <v>34865</v>
      </c>
      <c r="F95" s="48" t="s">
        <v>1721</v>
      </c>
      <c r="G95" s="47"/>
      <c r="H95" s="47"/>
      <c r="I95" s="40"/>
      <c r="J95" s="40">
        <v>0</v>
      </c>
      <c r="K95" s="20"/>
      <c r="L95" s="21"/>
      <c r="M95" s="110">
        <f>IF(L95="",I95,(MIN(J95,(L95*1.6*J95))))</f>
        <v>0</v>
      </c>
      <c r="N95" s="111">
        <f>IF(M95=0,0,(M95/J95))</f>
        <v>0</v>
      </c>
    </row>
    <row r="96" spans="2:14">
      <c r="B96" s="73">
        <v>127570</v>
      </c>
      <c r="C96" s="23" t="s">
        <v>1719</v>
      </c>
      <c r="D96" s="123">
        <f>SUMIF(B$3:B$3844,B96,M$3:M$3844)/(SUMIF(B$3:B$3844,B96,J$3:J$3844))</f>
        <v>1</v>
      </c>
      <c r="E96" s="23">
        <v>35724</v>
      </c>
      <c r="F96" s="46" t="str">
        <f>"BROOKER ELEMENTARY SCHOOL"</f>
        <v>BROOKER ELEMENTARY SCHOOL</v>
      </c>
      <c r="G96" s="23"/>
      <c r="H96" s="23"/>
      <c r="I96" s="41"/>
      <c r="J96" s="41">
        <v>125</v>
      </c>
      <c r="K96" s="20">
        <v>2015</v>
      </c>
      <c r="L96" s="21">
        <v>0.63400000000000001</v>
      </c>
      <c r="M96" s="110">
        <f>IF(L96="",I96,(MIN(J96,(L96*1.6*J96))))</f>
        <v>125</v>
      </c>
      <c r="N96" s="111">
        <f>IF(M96=0,0,(M96/J96))</f>
        <v>1</v>
      </c>
    </row>
    <row r="97" spans="2:14">
      <c r="B97" s="73">
        <v>127570</v>
      </c>
      <c r="C97" s="47" t="s">
        <v>1719</v>
      </c>
      <c r="D97" s="123">
        <f>SUMIF(B$3:B$3844,B97,M$3:M$3844)/(SUMIF(B$3:B$3844,B97,J$3:J$3844))</f>
        <v>1</v>
      </c>
      <c r="E97" s="47">
        <v>34793</v>
      </c>
      <c r="F97" s="48" t="str">
        <f>"LAWTEY ELEMENTARY SCHOOL"</f>
        <v>LAWTEY ELEMENTARY SCHOOL</v>
      </c>
      <c r="G97" s="47"/>
      <c r="H97" s="47"/>
      <c r="I97" s="40"/>
      <c r="J97" s="40">
        <v>235</v>
      </c>
      <c r="K97" s="20">
        <v>2015</v>
      </c>
      <c r="L97" s="21">
        <v>0.63400000000000001</v>
      </c>
      <c r="M97" s="110">
        <f>IF(L97="",I97,(MIN(J97,(L97*1.6*J97))))</f>
        <v>235</v>
      </c>
      <c r="N97" s="111">
        <f>IF(M97=0,0,(M97/J97))</f>
        <v>1</v>
      </c>
    </row>
    <row r="98" spans="2:14">
      <c r="B98" s="73">
        <v>127570</v>
      </c>
      <c r="C98" s="23" t="s">
        <v>1719</v>
      </c>
      <c r="D98" s="123">
        <f>SUMIF(B$3:B$3844,B98,M$3:M$3844)/(SUMIF(B$3:B$3844,B98,J$3:J$3844))</f>
        <v>1</v>
      </c>
      <c r="E98" s="23">
        <v>16020459</v>
      </c>
      <c r="F98" s="46" t="str">
        <f>"RAINBOW CENTER"</f>
        <v>RAINBOW CENTER</v>
      </c>
      <c r="G98" s="23"/>
      <c r="H98" s="23"/>
      <c r="I98" s="41"/>
      <c r="J98" s="41">
        <v>70</v>
      </c>
      <c r="K98" s="20">
        <v>2015</v>
      </c>
      <c r="L98" s="21">
        <v>0.63400000000000001</v>
      </c>
      <c r="M98" s="110">
        <f>IF(L98="",I98,(MIN(J98,(L98*1.6*J98))))</f>
        <v>70</v>
      </c>
      <c r="N98" s="111">
        <f>IF(M98=0,0,(M98/J98))</f>
        <v>1</v>
      </c>
    </row>
    <row r="99" spans="2:14">
      <c r="B99" s="73">
        <v>127570</v>
      </c>
      <c r="C99" s="47" t="s">
        <v>1719</v>
      </c>
      <c r="D99" s="123">
        <f>SUMIF(B$3:B$3844,B99,M$3:M$3844)/(SUMIF(B$3:B$3844,B99,J$3:J$3844))</f>
        <v>1</v>
      </c>
      <c r="E99" s="47">
        <v>34869</v>
      </c>
      <c r="F99" s="48" t="str">
        <f>"SOUTHSIDE ELEMENTARY SCHOOL"</f>
        <v>SOUTHSIDE ELEMENTARY SCHOOL</v>
      </c>
      <c r="G99" s="47"/>
      <c r="H99" s="47"/>
      <c r="I99" s="40"/>
      <c r="J99" s="40">
        <v>552</v>
      </c>
      <c r="K99" s="20">
        <v>2015</v>
      </c>
      <c r="L99" s="21">
        <v>0.63400000000000001</v>
      </c>
      <c r="M99" s="110">
        <f>IF(L99="",I99,(MIN(J99,(L99*1.6*J99))))</f>
        <v>552</v>
      </c>
      <c r="N99" s="111">
        <f>IF(M99=0,0,(M99/J99))</f>
        <v>1</v>
      </c>
    </row>
    <row r="100" spans="2:14">
      <c r="B100" s="73">
        <v>127570</v>
      </c>
      <c r="C100" s="23" t="s">
        <v>1719</v>
      </c>
      <c r="D100" s="123">
        <f>SUMIF(B$3:B$3844,B100,M$3:M$3844)/(SUMIF(B$3:B$3844,B100,J$3:J$3844))</f>
        <v>1</v>
      </c>
      <c r="E100" s="23">
        <v>34863</v>
      </c>
      <c r="F100" s="46" t="str">
        <f>"STARKE ELEMENTARY SCHOOL"</f>
        <v>STARKE ELEMENTARY SCHOOL</v>
      </c>
      <c r="G100" s="23"/>
      <c r="H100" s="23"/>
      <c r="I100" s="41"/>
      <c r="J100" s="41">
        <v>558</v>
      </c>
      <c r="K100" s="20">
        <v>2015</v>
      </c>
      <c r="L100" s="21">
        <v>0.63400000000000001</v>
      </c>
      <c r="M100" s="110">
        <f>IF(L100="",I100,(MIN(J100,(L100*1.6*J100))))</f>
        <v>558</v>
      </c>
      <c r="N100" s="111">
        <f>IF(M100=0,0,(M100/J100))</f>
        <v>1</v>
      </c>
    </row>
    <row r="101" spans="2:14">
      <c r="B101" s="73">
        <v>127700</v>
      </c>
      <c r="C101" s="23" t="s">
        <v>1722</v>
      </c>
      <c r="D101" s="123">
        <f>SUMIF(B$3:B$3844,B101,M$3:M$3844)/(SUMIF(B$3:B$3844,B101,J$3:J$3844))</f>
        <v>0.51089833179696098</v>
      </c>
      <c r="E101" s="23">
        <v>35954</v>
      </c>
      <c r="F101" s="46" t="s">
        <v>1723</v>
      </c>
      <c r="G101" s="23"/>
      <c r="H101" s="23"/>
      <c r="I101" s="41">
        <v>346</v>
      </c>
      <c r="J101" s="41">
        <v>578</v>
      </c>
      <c r="K101" s="20"/>
      <c r="L101" s="21"/>
      <c r="M101" s="110">
        <f>IF(L101="",I101,(MIN(J101,(L101*1.6*J101))))</f>
        <v>346</v>
      </c>
      <c r="N101" s="111">
        <f>IF(M101=0,0,(M101/J101))</f>
        <v>0.59861591695501726</v>
      </c>
    </row>
    <row r="102" spans="2:14">
      <c r="B102" s="72">
        <v>127700</v>
      </c>
      <c r="C102" s="47" t="s">
        <v>1722</v>
      </c>
      <c r="D102" s="123">
        <f>SUMIF(B$3:B$3844,B102,M$3:M$3844)/(SUMIF(B$3:B$3844,B102,J$3:J$3844))</f>
        <v>0.51089833179696098</v>
      </c>
      <c r="E102" s="47">
        <v>35951</v>
      </c>
      <c r="F102" s="48" t="s">
        <v>1724</v>
      </c>
      <c r="G102" s="47"/>
      <c r="H102" s="47"/>
      <c r="I102" s="40">
        <v>604</v>
      </c>
      <c r="J102" s="40">
        <v>857</v>
      </c>
      <c r="K102" s="20"/>
      <c r="L102" s="21"/>
      <c r="M102" s="110">
        <f>IF(L102="",I102,(MIN(J102,(L102*1.6*J102))))</f>
        <v>604</v>
      </c>
      <c r="N102" s="111">
        <f>IF(M102=0,0,(M102/J102))</f>
        <v>0.70478413068844803</v>
      </c>
    </row>
    <row r="103" spans="2:14">
      <c r="B103" s="73">
        <v>127700</v>
      </c>
      <c r="C103" s="23" t="s">
        <v>1722</v>
      </c>
      <c r="D103" s="123">
        <f>SUMIF(B$3:B$3844,B103,M$3:M$3844)/(SUMIF(B$3:B$3844,B103,J$3:J$3844))</f>
        <v>0.51089833179696098</v>
      </c>
      <c r="E103" s="23">
        <v>35987</v>
      </c>
      <c r="F103" s="46" t="s">
        <v>1725</v>
      </c>
      <c r="G103" s="23"/>
      <c r="H103" s="23"/>
      <c r="I103" s="41">
        <v>541</v>
      </c>
      <c r="J103" s="41">
        <v>1104</v>
      </c>
      <c r="K103" s="20"/>
      <c r="L103" s="21"/>
      <c r="M103" s="110">
        <f>IF(L103="",I103,(MIN(J103,(L103*1.6*J103))))</f>
        <v>541</v>
      </c>
      <c r="N103" s="111">
        <f>IF(M103=0,0,(M103/J103))</f>
        <v>0.49003623188405798</v>
      </c>
    </row>
    <row r="104" spans="2:14">
      <c r="B104" s="72">
        <v>127700</v>
      </c>
      <c r="C104" s="47" t="s">
        <v>1722</v>
      </c>
      <c r="D104" s="123">
        <f>SUMIF(B$3:B$3844,B104,M$3:M$3844)/(SUMIF(B$3:B$3844,B104,J$3:J$3844))</f>
        <v>0.51089833179696098</v>
      </c>
      <c r="E104" s="47">
        <v>36209</v>
      </c>
      <c r="F104" s="48" t="s">
        <v>1726</v>
      </c>
      <c r="G104" s="47"/>
      <c r="H104" s="47"/>
      <c r="I104" s="40">
        <v>326</v>
      </c>
      <c r="J104" s="40">
        <v>582</v>
      </c>
      <c r="K104" s="20"/>
      <c r="L104" s="21"/>
      <c r="M104" s="110">
        <f>IF(L104="",I104,(MIN(J104,(L104*1.6*J104))))</f>
        <v>326</v>
      </c>
      <c r="N104" s="111">
        <f>IF(M104=0,0,(M104/J104))</f>
        <v>0.56013745704467355</v>
      </c>
    </row>
    <row r="105" spans="2:14">
      <c r="B105" s="73">
        <v>127700</v>
      </c>
      <c r="C105" s="23" t="s">
        <v>1722</v>
      </c>
      <c r="D105" s="123">
        <f>SUMIF(B$3:B$3844,B105,M$3:M$3844)/(SUMIF(B$3:B$3844,B105,J$3:J$3844))</f>
        <v>0.51089833179696098</v>
      </c>
      <c r="E105" s="23">
        <v>36242</v>
      </c>
      <c r="F105" s="46" t="s">
        <v>1727</v>
      </c>
      <c r="G105" s="23"/>
      <c r="H105" s="23"/>
      <c r="I105" s="41">
        <v>320</v>
      </c>
      <c r="J105" s="41">
        <v>644</v>
      </c>
      <c r="K105" s="20"/>
      <c r="L105" s="21"/>
      <c r="M105" s="110">
        <f>IF(L105="",I105,(MIN(J105,(L105*1.6*J105))))</f>
        <v>320</v>
      </c>
      <c r="N105" s="111">
        <f>IF(M105=0,0,(M105/J105))</f>
        <v>0.49689440993788819</v>
      </c>
    </row>
    <row r="106" spans="2:14">
      <c r="B106" s="72">
        <v>127700</v>
      </c>
      <c r="C106" s="47" t="s">
        <v>1722</v>
      </c>
      <c r="D106" s="123">
        <f>SUMIF(B$3:B$3844,B106,M$3:M$3844)/(SUMIF(B$3:B$3844,B106,J$3:J$3844))</f>
        <v>0.51089833179696098</v>
      </c>
      <c r="E106" s="47">
        <v>205100</v>
      </c>
      <c r="F106" s="48" t="s">
        <v>1728</v>
      </c>
      <c r="G106" s="47"/>
      <c r="H106" s="47"/>
      <c r="I106" s="40">
        <v>858</v>
      </c>
      <c r="J106" s="40">
        <v>1687</v>
      </c>
      <c r="K106" s="20"/>
      <c r="L106" s="21"/>
      <c r="M106" s="110">
        <f>IF(L106="",I106,(MIN(J106,(L106*1.6*J106))))</f>
        <v>858</v>
      </c>
      <c r="N106" s="111">
        <f>IF(M106=0,0,(M106/J106))</f>
        <v>0.50859513930053346</v>
      </c>
    </row>
    <row r="107" spans="2:14">
      <c r="B107" s="73">
        <v>127700</v>
      </c>
      <c r="C107" s="23" t="s">
        <v>1722</v>
      </c>
      <c r="D107" s="123">
        <f>SUMIF(B$3:B$3844,B107,M$3:M$3844)/(SUMIF(B$3:B$3844,B107,J$3:J$3844))</f>
        <v>0.51089833179696098</v>
      </c>
      <c r="E107" s="23">
        <v>213075</v>
      </c>
      <c r="F107" s="46" t="s">
        <v>1729</v>
      </c>
      <c r="G107" s="23"/>
      <c r="H107" s="23"/>
      <c r="I107" s="41"/>
      <c r="J107" s="41" t="s">
        <v>798</v>
      </c>
      <c r="K107" s="20"/>
      <c r="L107" s="21"/>
      <c r="M107" s="110">
        <f>IF(L107="",I107,(MIN(J107,(L107*1.6*J107))))</f>
        <v>0</v>
      </c>
      <c r="N107" s="111">
        <f>IF(M107=0,0,(M107/J107))</f>
        <v>0</v>
      </c>
    </row>
    <row r="108" spans="2:14">
      <c r="B108" s="72">
        <v>127700</v>
      </c>
      <c r="C108" s="47" t="s">
        <v>1722</v>
      </c>
      <c r="D108" s="123">
        <f>SUMIF(B$3:B$3844,B108,M$3:M$3844)/(SUMIF(B$3:B$3844,B108,J$3:J$3844))</f>
        <v>0.51089833179696098</v>
      </c>
      <c r="E108" s="47">
        <v>213075</v>
      </c>
      <c r="F108" s="48" t="s">
        <v>1730</v>
      </c>
      <c r="G108" s="47"/>
      <c r="H108" s="47"/>
      <c r="I108" s="40">
        <v>20</v>
      </c>
      <c r="J108" s="40">
        <v>39</v>
      </c>
      <c r="K108" s="20"/>
      <c r="L108" s="21"/>
      <c r="M108" s="110">
        <f>IF(L108="",I108,(MIN(J108,(L108*1.6*J108))))</f>
        <v>20</v>
      </c>
      <c r="N108" s="111">
        <f>IF(M108=0,0,(M108/J108))</f>
        <v>0.51282051282051277</v>
      </c>
    </row>
    <row r="109" spans="2:14">
      <c r="B109" s="73">
        <v>127700</v>
      </c>
      <c r="C109" s="23" t="s">
        <v>1722</v>
      </c>
      <c r="D109" s="123">
        <f>SUMIF(B$3:B$3844,B109,M$3:M$3844)/(SUMIF(B$3:B$3844,B109,J$3:J$3844))</f>
        <v>0.51089833179696098</v>
      </c>
      <c r="E109" s="23">
        <v>36200</v>
      </c>
      <c r="F109" s="46" t="s">
        <v>1731</v>
      </c>
      <c r="G109" s="23"/>
      <c r="H109" s="23"/>
      <c r="I109" s="41"/>
      <c r="J109" s="41">
        <v>665</v>
      </c>
      <c r="K109" s="20">
        <v>2014</v>
      </c>
      <c r="L109" s="21">
        <v>0.7984</v>
      </c>
      <c r="M109" s="110">
        <f>IF(L109="",I109,(MIN(J109,(L109*1.6*J109))))</f>
        <v>665</v>
      </c>
      <c r="N109" s="111">
        <f>IF(M109=0,0,(M109/J109))</f>
        <v>1</v>
      </c>
    </row>
    <row r="110" spans="2:14">
      <c r="B110" s="72">
        <v>127700</v>
      </c>
      <c r="C110" s="47" t="s">
        <v>1722</v>
      </c>
      <c r="D110" s="123">
        <f>SUMIF(B$3:B$3844,B110,M$3:M$3844)/(SUMIF(B$3:B$3844,B110,J$3:J$3844))</f>
        <v>0.51089833179696098</v>
      </c>
      <c r="E110" s="47">
        <v>36197</v>
      </c>
      <c r="F110" s="48" t="s">
        <v>1732</v>
      </c>
      <c r="G110" s="47"/>
      <c r="H110" s="47"/>
      <c r="I110" s="40">
        <v>300</v>
      </c>
      <c r="J110" s="40">
        <v>426</v>
      </c>
      <c r="K110" s="20"/>
      <c r="L110" s="21"/>
      <c r="M110" s="110">
        <f>IF(L110="",I110,(MIN(J110,(L110*1.6*J110))))</f>
        <v>300</v>
      </c>
      <c r="N110" s="111">
        <f>IF(M110=0,0,(M110/J110))</f>
        <v>0.70422535211267601</v>
      </c>
    </row>
    <row r="111" spans="2:14">
      <c r="B111" s="73">
        <v>127700</v>
      </c>
      <c r="C111" s="23" t="s">
        <v>1722</v>
      </c>
      <c r="D111" s="123">
        <f>SUMIF(B$3:B$3844,B111,M$3:M$3844)/(SUMIF(B$3:B$3844,B111,J$3:J$3844))</f>
        <v>0.51089833179696098</v>
      </c>
      <c r="E111" s="23">
        <v>213072</v>
      </c>
      <c r="F111" s="46" t="s">
        <v>1733</v>
      </c>
      <c r="G111" s="23"/>
      <c r="H111" s="23"/>
      <c r="I111" s="41">
        <v>1</v>
      </c>
      <c r="J111" s="41">
        <v>30</v>
      </c>
      <c r="K111" s="20"/>
      <c r="L111" s="21"/>
      <c r="M111" s="110">
        <f>IF(L111="",I111,(MIN(J111,(L111*1.6*J111))))</f>
        <v>1</v>
      </c>
      <c r="N111" s="111">
        <f>IF(M111=0,0,(M111/J111))</f>
        <v>3.3333333333333333E-2</v>
      </c>
    </row>
    <row r="112" spans="2:14">
      <c r="B112" s="72">
        <v>127700</v>
      </c>
      <c r="C112" s="47" t="s">
        <v>1722</v>
      </c>
      <c r="D112" s="123">
        <f>SUMIF(B$3:B$3844,B112,M$3:M$3844)/(SUMIF(B$3:B$3844,B112,J$3:J$3844))</f>
        <v>0.51089833179696098</v>
      </c>
      <c r="E112" s="47">
        <v>36182</v>
      </c>
      <c r="F112" s="48" t="s">
        <v>1734</v>
      </c>
      <c r="G112" s="47"/>
      <c r="H112" s="47"/>
      <c r="I112" s="40">
        <v>607</v>
      </c>
      <c r="J112" s="40">
        <v>1141</v>
      </c>
      <c r="K112" s="20"/>
      <c r="L112" s="21"/>
      <c r="M112" s="110">
        <f>IF(L112="",I112,(MIN(J112,(L112*1.6*J112))))</f>
        <v>607</v>
      </c>
      <c r="N112" s="111">
        <f>IF(M112=0,0,(M112/J112))</f>
        <v>0.53198948290972836</v>
      </c>
    </row>
    <row r="113" spans="2:14">
      <c r="B113" s="73">
        <v>127700</v>
      </c>
      <c r="C113" s="23" t="s">
        <v>1722</v>
      </c>
      <c r="D113" s="123">
        <f>SUMIF(B$3:B$3844,B113,M$3:M$3844)/(SUMIF(B$3:B$3844,B113,J$3:J$3844))</f>
        <v>0.51089833179696098</v>
      </c>
      <c r="E113" s="23">
        <v>36210</v>
      </c>
      <c r="F113" s="46" t="s">
        <v>1735</v>
      </c>
      <c r="G113" s="23"/>
      <c r="H113" s="23"/>
      <c r="I113" s="41">
        <v>329</v>
      </c>
      <c r="J113" s="41">
        <v>514</v>
      </c>
      <c r="K113" s="20"/>
      <c r="L113" s="21"/>
      <c r="M113" s="110">
        <f>IF(L113="",I113,(MIN(J113,(L113*1.6*J113))))</f>
        <v>329</v>
      </c>
      <c r="N113" s="111">
        <f>IF(M113=0,0,(M113/J113))</f>
        <v>0.6400778210116731</v>
      </c>
    </row>
    <row r="114" spans="2:14">
      <c r="B114" s="72">
        <v>127700</v>
      </c>
      <c r="C114" s="47" t="s">
        <v>1722</v>
      </c>
      <c r="D114" s="123">
        <f>SUMIF(B$3:B$3844,B114,M$3:M$3844)/(SUMIF(B$3:B$3844,B114,J$3:J$3844))</f>
        <v>0.51089833179696098</v>
      </c>
      <c r="E114" s="47">
        <v>36189</v>
      </c>
      <c r="F114" s="48" t="s">
        <v>1736</v>
      </c>
      <c r="G114" s="47"/>
      <c r="H114" s="47"/>
      <c r="I114" s="40">
        <v>570</v>
      </c>
      <c r="J114" s="40">
        <v>745</v>
      </c>
      <c r="K114" s="20"/>
      <c r="L114" s="21"/>
      <c r="M114" s="110">
        <f>IF(L114="",I114,(MIN(J114,(L114*1.6*J114))))</f>
        <v>570</v>
      </c>
      <c r="N114" s="111">
        <f>IF(M114=0,0,(M114/J114))</f>
        <v>0.7651006711409396</v>
      </c>
    </row>
    <row r="115" spans="2:14">
      <c r="B115" s="73">
        <v>127700</v>
      </c>
      <c r="C115" s="23" t="s">
        <v>1722</v>
      </c>
      <c r="D115" s="123">
        <f>SUMIF(B$3:B$3844,B115,M$3:M$3844)/(SUMIF(B$3:B$3844,B115,J$3:J$3844))</f>
        <v>0.51089833179696098</v>
      </c>
      <c r="E115" s="23">
        <v>36199</v>
      </c>
      <c r="F115" s="46" t="s">
        <v>1737</v>
      </c>
      <c r="G115" s="23"/>
      <c r="H115" s="23"/>
      <c r="I115" s="41"/>
      <c r="J115" s="41">
        <v>0</v>
      </c>
      <c r="K115" s="20"/>
      <c r="L115" s="21"/>
      <c r="M115" s="110">
        <f>IF(L115="",I115,(MIN(J115,(L115*1.6*J115))))</f>
        <v>0</v>
      </c>
      <c r="N115" s="111">
        <f>IF(M115=0,0,(M115/J115))</f>
        <v>0</v>
      </c>
    </row>
    <row r="116" spans="2:14">
      <c r="B116" s="72">
        <v>127700</v>
      </c>
      <c r="C116" s="47" t="s">
        <v>1722</v>
      </c>
      <c r="D116" s="123">
        <f>SUMIF(B$3:B$3844,B116,M$3:M$3844)/(SUMIF(B$3:B$3844,B116,J$3:J$3844))</f>
        <v>0.51089833179696098</v>
      </c>
      <c r="E116" s="47">
        <v>36213</v>
      </c>
      <c r="F116" s="48" t="s">
        <v>1738</v>
      </c>
      <c r="G116" s="47"/>
      <c r="H116" s="47"/>
      <c r="I116" s="40">
        <v>315</v>
      </c>
      <c r="J116" s="40">
        <v>1102</v>
      </c>
      <c r="K116" s="20"/>
      <c r="L116" s="21"/>
      <c r="M116" s="110">
        <f>IF(L116="",I116,(MIN(J116,(L116*1.6*J116))))</f>
        <v>315</v>
      </c>
      <c r="N116" s="111">
        <f>IF(M116=0,0,(M116/J116))</f>
        <v>0.28584392014519056</v>
      </c>
    </row>
    <row r="117" spans="2:14">
      <c r="B117" s="73">
        <v>127700</v>
      </c>
      <c r="C117" s="23" t="s">
        <v>1722</v>
      </c>
      <c r="D117" s="123">
        <f>SUMIF(B$3:B$3844,B117,M$3:M$3844)/(SUMIF(B$3:B$3844,B117,J$3:J$3844))</f>
        <v>0.51089833179696098</v>
      </c>
      <c r="E117" s="23">
        <v>36205</v>
      </c>
      <c r="F117" s="46" t="s">
        <v>1739</v>
      </c>
      <c r="G117" s="23"/>
      <c r="H117" s="23"/>
      <c r="I117" s="41">
        <v>1097</v>
      </c>
      <c r="J117" s="41">
        <v>1498</v>
      </c>
      <c r="K117" s="20"/>
      <c r="L117" s="21"/>
      <c r="M117" s="110">
        <f>IF(L117="",I117,(MIN(J117,(L117*1.6*J117))))</f>
        <v>1097</v>
      </c>
      <c r="N117" s="111">
        <f>IF(M117=0,0,(M117/J117))</f>
        <v>0.73230974632843793</v>
      </c>
    </row>
    <row r="118" spans="2:14">
      <c r="B118" s="72">
        <v>127700</v>
      </c>
      <c r="C118" s="47" t="s">
        <v>1722</v>
      </c>
      <c r="D118" s="123">
        <f>SUMIF(B$3:B$3844,B118,M$3:M$3844)/(SUMIF(B$3:B$3844,B118,J$3:J$3844))</f>
        <v>0.51089833179696098</v>
      </c>
      <c r="E118" s="47">
        <v>36196</v>
      </c>
      <c r="F118" s="48" t="s">
        <v>1740</v>
      </c>
      <c r="G118" s="47"/>
      <c r="H118" s="47"/>
      <c r="I118" s="40">
        <v>451</v>
      </c>
      <c r="J118" s="40">
        <v>577</v>
      </c>
      <c r="K118" s="20"/>
      <c r="L118" s="21"/>
      <c r="M118" s="110">
        <f>IF(L118="",I118,(MIN(J118,(L118*1.6*J118))))</f>
        <v>451</v>
      </c>
      <c r="N118" s="111">
        <f>IF(M118=0,0,(M118/J118))</f>
        <v>0.78162911611785091</v>
      </c>
    </row>
    <row r="119" spans="2:14">
      <c r="B119" s="73">
        <v>127700</v>
      </c>
      <c r="C119" s="23" t="s">
        <v>1722</v>
      </c>
      <c r="D119" s="123">
        <f>SUMIF(B$3:B$3844,B119,M$3:M$3844)/(SUMIF(B$3:B$3844,B119,J$3:J$3844))</f>
        <v>0.51089833179696098</v>
      </c>
      <c r="E119" s="23">
        <v>35955</v>
      </c>
      <c r="F119" s="46" t="s">
        <v>1741</v>
      </c>
      <c r="G119" s="23"/>
      <c r="H119" s="23"/>
      <c r="I119" s="41">
        <v>442</v>
      </c>
      <c r="J119" s="41">
        <v>553</v>
      </c>
      <c r="K119" s="20"/>
      <c r="L119" s="21"/>
      <c r="M119" s="110">
        <f>IF(L119="",I119,(MIN(J119,(L119*1.6*J119))))</f>
        <v>442</v>
      </c>
      <c r="N119" s="111">
        <f>IF(M119=0,0,(M119/J119))</f>
        <v>0.79927667269439417</v>
      </c>
    </row>
    <row r="120" spans="2:14">
      <c r="B120" s="72">
        <v>127700</v>
      </c>
      <c r="C120" s="47" t="s">
        <v>1722</v>
      </c>
      <c r="D120" s="123">
        <f>SUMIF(B$3:B$3844,B120,M$3:M$3844)/(SUMIF(B$3:B$3844,B120,J$3:J$3844))</f>
        <v>0.51089833179696098</v>
      </c>
      <c r="E120" s="47">
        <v>36218</v>
      </c>
      <c r="F120" s="48" t="s">
        <v>1742</v>
      </c>
      <c r="G120" s="47"/>
      <c r="H120" s="47"/>
      <c r="I120" s="40">
        <v>451</v>
      </c>
      <c r="J120" s="40">
        <v>665</v>
      </c>
      <c r="K120" s="20"/>
      <c r="L120" s="21"/>
      <c r="M120" s="110">
        <f>IF(L120="",I120,(MIN(J120,(L120*1.6*J120))))</f>
        <v>451</v>
      </c>
      <c r="N120" s="111">
        <f>IF(M120=0,0,(M120/J120))</f>
        <v>0.67819548872180446</v>
      </c>
    </row>
    <row r="121" spans="2:14">
      <c r="B121" s="73">
        <v>127700</v>
      </c>
      <c r="C121" s="23" t="s">
        <v>1722</v>
      </c>
      <c r="D121" s="123">
        <f>SUMIF(B$3:B$3844,B121,M$3:M$3844)/(SUMIF(B$3:B$3844,B121,J$3:J$3844))</f>
        <v>0.51089833179696098</v>
      </c>
      <c r="E121" s="23">
        <v>36229</v>
      </c>
      <c r="F121" s="46" t="s">
        <v>1743</v>
      </c>
      <c r="G121" s="23"/>
      <c r="H121" s="23"/>
      <c r="I121" s="41">
        <v>175</v>
      </c>
      <c r="J121" s="41">
        <v>686</v>
      </c>
      <c r="K121" s="20"/>
      <c r="L121" s="21"/>
      <c r="M121" s="110">
        <f>IF(L121="",I121,(MIN(J121,(L121*1.6*J121))))</f>
        <v>175</v>
      </c>
      <c r="N121" s="111">
        <f>IF(M121=0,0,(M121/J121))</f>
        <v>0.25510204081632654</v>
      </c>
    </row>
    <row r="122" spans="2:14">
      <c r="B122" s="72">
        <v>127700</v>
      </c>
      <c r="C122" s="47" t="s">
        <v>1722</v>
      </c>
      <c r="D122" s="123">
        <f>SUMIF(B$3:B$3844,B122,M$3:M$3844)/(SUMIF(B$3:B$3844,B122,J$3:J$3844))</f>
        <v>0.51089833179696098</v>
      </c>
      <c r="E122" s="47">
        <v>36192</v>
      </c>
      <c r="F122" s="48" t="s">
        <v>68</v>
      </c>
      <c r="G122" s="47"/>
      <c r="H122" s="47"/>
      <c r="I122" s="40">
        <v>481</v>
      </c>
      <c r="J122" s="40">
        <v>634</v>
      </c>
      <c r="K122" s="20"/>
      <c r="L122" s="21"/>
      <c r="M122" s="110">
        <f>IF(L122="",I122,(MIN(J122,(L122*1.6*J122))))</f>
        <v>481</v>
      </c>
      <c r="N122" s="111">
        <f>IF(M122=0,0,(M122/J122))</f>
        <v>0.75867507886435326</v>
      </c>
    </row>
    <row r="123" spans="2:14">
      <c r="B123" s="73">
        <v>127700</v>
      </c>
      <c r="C123" s="23" t="s">
        <v>1722</v>
      </c>
      <c r="D123" s="123">
        <f>SUMIF(B$3:B$3844,B123,M$3:M$3844)/(SUMIF(B$3:B$3844,B123,J$3:J$3844))</f>
        <v>0.51089833179696098</v>
      </c>
      <c r="E123" s="23">
        <v>36223</v>
      </c>
      <c r="F123" s="46" t="s">
        <v>1744</v>
      </c>
      <c r="G123" s="23"/>
      <c r="H123" s="23"/>
      <c r="I123" s="41">
        <v>642</v>
      </c>
      <c r="J123" s="41">
        <v>931</v>
      </c>
      <c r="K123" s="20"/>
      <c r="L123" s="21"/>
      <c r="M123" s="110">
        <f>IF(L123="",I123,(MIN(J123,(L123*1.6*J123))))</f>
        <v>642</v>
      </c>
      <c r="N123" s="111">
        <f>IF(M123=0,0,(M123/J123))</f>
        <v>0.68958109559613323</v>
      </c>
    </row>
    <row r="124" spans="2:14">
      <c r="B124" s="72">
        <v>127700</v>
      </c>
      <c r="C124" s="47" t="s">
        <v>1722</v>
      </c>
      <c r="D124" s="123">
        <f>SUMIF(B$3:B$3844,B124,M$3:M$3844)/(SUMIF(B$3:B$3844,B124,J$3:J$3844))</f>
        <v>0.51089833179696098</v>
      </c>
      <c r="E124" s="47">
        <v>36220</v>
      </c>
      <c r="F124" s="48" t="s">
        <v>1745</v>
      </c>
      <c r="G124" s="47"/>
      <c r="H124" s="47"/>
      <c r="I124" s="40">
        <v>762</v>
      </c>
      <c r="J124" s="40">
        <v>1711</v>
      </c>
      <c r="K124" s="20"/>
      <c r="L124" s="21"/>
      <c r="M124" s="110">
        <f>IF(L124="",I124,(MIN(J124,(L124*1.6*J124))))</f>
        <v>762</v>
      </c>
      <c r="N124" s="111">
        <f>IF(M124=0,0,(M124/J124))</f>
        <v>0.44535359438924604</v>
      </c>
    </row>
    <row r="125" spans="2:14">
      <c r="B125" s="73">
        <v>127700</v>
      </c>
      <c r="C125" s="23" t="s">
        <v>1722</v>
      </c>
      <c r="D125" s="123">
        <f>SUMIF(B$3:B$3844,B125,M$3:M$3844)/(SUMIF(B$3:B$3844,B125,J$3:J$3844))</f>
        <v>0.51089833179696098</v>
      </c>
      <c r="E125" s="23">
        <v>36245</v>
      </c>
      <c r="F125" s="46" t="s">
        <v>1746</v>
      </c>
      <c r="G125" s="23"/>
      <c r="H125" s="23"/>
      <c r="I125" s="41">
        <v>119</v>
      </c>
      <c r="J125" s="41">
        <v>949</v>
      </c>
      <c r="K125" s="20"/>
      <c r="L125" s="21"/>
      <c r="M125" s="110">
        <f>IF(L125="",I125,(MIN(J125,(L125*1.6*J125))))</f>
        <v>119</v>
      </c>
      <c r="N125" s="111">
        <f>IF(M125=0,0,(M125/J125))</f>
        <v>0.12539515279241306</v>
      </c>
    </row>
    <row r="126" spans="2:14">
      <c r="B126" s="72">
        <v>127700</v>
      </c>
      <c r="C126" s="47" t="s">
        <v>1722</v>
      </c>
      <c r="D126" s="123">
        <f>SUMIF(B$3:B$3844,B126,M$3:M$3844)/(SUMIF(B$3:B$3844,B126,J$3:J$3844))</f>
        <v>0.51089833179696098</v>
      </c>
      <c r="E126" s="47">
        <v>36198</v>
      </c>
      <c r="F126" s="48" t="s">
        <v>1747</v>
      </c>
      <c r="G126" s="47"/>
      <c r="H126" s="47"/>
      <c r="I126" s="40"/>
      <c r="J126" s="40">
        <v>837</v>
      </c>
      <c r="K126" s="20">
        <v>2014</v>
      </c>
      <c r="L126" s="21">
        <v>0.81659999999999999</v>
      </c>
      <c r="M126" s="110">
        <f>IF(L126="",I126,(MIN(J126,(L126*1.6*J126))))</f>
        <v>837</v>
      </c>
      <c r="N126" s="111">
        <f>IF(M126=0,0,(M126/J126))</f>
        <v>1</v>
      </c>
    </row>
    <row r="127" spans="2:14">
      <c r="B127" s="73">
        <v>127700</v>
      </c>
      <c r="C127" s="23" t="s">
        <v>1722</v>
      </c>
      <c r="D127" s="123">
        <f>SUMIF(B$3:B$3844,B127,M$3:M$3844)/(SUMIF(B$3:B$3844,B127,J$3:J$3844))</f>
        <v>0.51089833179696098</v>
      </c>
      <c r="E127" s="23">
        <v>36207</v>
      </c>
      <c r="F127" s="46" t="s">
        <v>1748</v>
      </c>
      <c r="G127" s="23"/>
      <c r="H127" s="23"/>
      <c r="I127" s="41">
        <v>266</v>
      </c>
      <c r="J127" s="41">
        <v>539</v>
      </c>
      <c r="K127" s="20"/>
      <c r="L127" s="21"/>
      <c r="M127" s="110">
        <f>IF(L127="",I127,(MIN(J127,(L127*1.6*J127))))</f>
        <v>266</v>
      </c>
      <c r="N127" s="111">
        <f>IF(M127=0,0,(M127/J127))</f>
        <v>0.4935064935064935</v>
      </c>
    </row>
    <row r="128" spans="2:14">
      <c r="B128" s="72">
        <v>127700</v>
      </c>
      <c r="C128" s="47" t="s">
        <v>1722</v>
      </c>
      <c r="D128" s="123">
        <f>SUMIF(B$3:B$3844,B128,M$3:M$3844)/(SUMIF(B$3:B$3844,B128,J$3:J$3844))</f>
        <v>0.51089833179696098</v>
      </c>
      <c r="E128" s="47">
        <v>213073</v>
      </c>
      <c r="F128" s="48" t="s">
        <v>1749</v>
      </c>
      <c r="G128" s="47"/>
      <c r="H128" s="47"/>
      <c r="I128" s="40">
        <v>10</v>
      </c>
      <c r="J128" s="40">
        <v>255</v>
      </c>
      <c r="K128" s="20"/>
      <c r="L128" s="21"/>
      <c r="M128" s="110">
        <f>IF(L128="",I128,(MIN(J128,(L128*1.6*J128))))</f>
        <v>10</v>
      </c>
      <c r="N128" s="111">
        <f>IF(M128=0,0,(M128/J128))</f>
        <v>3.9215686274509803E-2</v>
      </c>
    </row>
    <row r="129" spans="2:14">
      <c r="B129" s="73">
        <v>127700</v>
      </c>
      <c r="C129" s="23" t="s">
        <v>1722</v>
      </c>
      <c r="D129" s="123">
        <f>SUMIF(B$3:B$3844,B129,M$3:M$3844)/(SUMIF(B$3:B$3844,B129,J$3:J$3844))</f>
        <v>0.51089833179696098</v>
      </c>
      <c r="E129" s="23">
        <v>36208</v>
      </c>
      <c r="F129" s="46" t="s">
        <v>1750</v>
      </c>
      <c r="G129" s="23"/>
      <c r="H129" s="23"/>
      <c r="I129" s="41"/>
      <c r="J129" s="41">
        <v>691</v>
      </c>
      <c r="K129" s="20">
        <v>2014</v>
      </c>
      <c r="L129" s="21">
        <v>0.65450000000000008</v>
      </c>
      <c r="M129" s="110">
        <f>IF(L129="",I129,(MIN(J129,(L129*1.6*J129))))</f>
        <v>691</v>
      </c>
      <c r="N129" s="111">
        <f>IF(M129=0,0,(M129/J129))</f>
        <v>1</v>
      </c>
    </row>
    <row r="130" spans="2:14">
      <c r="B130" s="72">
        <v>127700</v>
      </c>
      <c r="C130" s="47" t="s">
        <v>1722</v>
      </c>
      <c r="D130" s="123">
        <f>SUMIF(B$3:B$3844,B130,M$3:M$3844)/(SUMIF(B$3:B$3844,B130,J$3:J$3844))</f>
        <v>0.51089833179696098</v>
      </c>
      <c r="E130" s="47">
        <v>213076</v>
      </c>
      <c r="F130" s="48" t="s">
        <v>1751</v>
      </c>
      <c r="G130" s="47"/>
      <c r="H130" s="47"/>
      <c r="I130" s="40">
        <v>1</v>
      </c>
      <c r="J130" s="40">
        <v>18</v>
      </c>
      <c r="K130" s="20"/>
      <c r="L130" s="21"/>
      <c r="M130" s="110">
        <f>IF(L130="",I130,(MIN(J130,(L130*1.6*J130))))</f>
        <v>1</v>
      </c>
      <c r="N130" s="111">
        <f>IF(M130=0,0,(M130/J130))</f>
        <v>5.5555555555555552E-2</v>
      </c>
    </row>
    <row r="131" spans="2:14" ht="30">
      <c r="B131" s="73">
        <v>127700</v>
      </c>
      <c r="C131" s="23" t="s">
        <v>1722</v>
      </c>
      <c r="D131" s="123">
        <f>SUMIF(B$3:B$3844,B131,M$3:M$3844)/(SUMIF(B$3:B$3844,B131,J$3:J$3844))</f>
        <v>0.51089833179696098</v>
      </c>
      <c r="E131" s="23">
        <v>219352</v>
      </c>
      <c r="F131" s="46" t="s">
        <v>1752</v>
      </c>
      <c r="G131" s="23"/>
      <c r="H131" s="23"/>
      <c r="I131" s="41">
        <v>45</v>
      </c>
      <c r="J131" s="41">
        <v>413</v>
      </c>
      <c r="K131" s="20"/>
      <c r="L131" s="21"/>
      <c r="M131" s="110">
        <f>IF(L131="",I131,(MIN(J131,(L131*1.6*J131))))</f>
        <v>45</v>
      </c>
      <c r="N131" s="111">
        <f>IF(M131=0,0,(M131/J131))</f>
        <v>0.10895883777239709</v>
      </c>
    </row>
    <row r="132" spans="2:14">
      <c r="B132" s="72">
        <v>127700</v>
      </c>
      <c r="C132" s="47" t="s">
        <v>1722</v>
      </c>
      <c r="D132" s="123">
        <f>SUMIF(B$3:B$3844,B132,M$3:M$3844)/(SUMIF(B$3:B$3844,B132,J$3:J$3844))</f>
        <v>0.51089833179696098</v>
      </c>
      <c r="E132" s="47">
        <v>36238</v>
      </c>
      <c r="F132" s="48" t="s">
        <v>1753</v>
      </c>
      <c r="G132" s="47"/>
      <c r="H132" s="47"/>
      <c r="I132" s="40">
        <v>93</v>
      </c>
      <c r="J132" s="40">
        <v>483</v>
      </c>
      <c r="K132" s="20"/>
      <c r="L132" s="21"/>
      <c r="M132" s="110">
        <f>IF(L132="",I132,(MIN(J132,(L132*1.6*J132))))</f>
        <v>93</v>
      </c>
      <c r="N132" s="111">
        <f>IF(M132=0,0,(M132/J132))</f>
        <v>0.19254658385093168</v>
      </c>
    </row>
    <row r="133" spans="2:14">
      <c r="B133" s="73">
        <v>127700</v>
      </c>
      <c r="C133" s="23" t="s">
        <v>1722</v>
      </c>
      <c r="D133" s="123">
        <f>SUMIF(B$3:B$3844,B133,M$3:M$3844)/(SUMIF(B$3:B$3844,B133,J$3:J$3844))</f>
        <v>0.51089833179696098</v>
      </c>
      <c r="E133" s="23">
        <v>36253</v>
      </c>
      <c r="F133" s="46" t="s">
        <v>1754</v>
      </c>
      <c r="G133" s="23"/>
      <c r="H133" s="23"/>
      <c r="I133" s="41"/>
      <c r="J133" s="41">
        <v>647</v>
      </c>
      <c r="K133" s="20">
        <v>2014</v>
      </c>
      <c r="L133" s="21">
        <v>0.64659999999999995</v>
      </c>
      <c r="M133" s="110">
        <f>IF(L133="",I133,(MIN(J133,(L133*1.6*J133))))</f>
        <v>647</v>
      </c>
      <c r="N133" s="111">
        <f>IF(M133=0,0,(M133/J133))</f>
        <v>1</v>
      </c>
    </row>
    <row r="134" spans="2:14">
      <c r="B134" s="72">
        <v>127700</v>
      </c>
      <c r="C134" s="47" t="s">
        <v>1722</v>
      </c>
      <c r="D134" s="123">
        <f>SUMIF(B$3:B$3844,B134,M$3:M$3844)/(SUMIF(B$3:B$3844,B134,J$3:J$3844))</f>
        <v>0.51089833179696098</v>
      </c>
      <c r="E134" s="47">
        <v>36257</v>
      </c>
      <c r="F134" s="48" t="s">
        <v>1755</v>
      </c>
      <c r="G134" s="47"/>
      <c r="H134" s="47"/>
      <c r="I134" s="40">
        <v>352</v>
      </c>
      <c r="J134" s="40">
        <v>705</v>
      </c>
      <c r="K134" s="20"/>
      <c r="L134" s="21"/>
      <c r="M134" s="110">
        <f>IF(L134="",I134,(MIN(J134,(L134*1.6*J134))))</f>
        <v>352</v>
      </c>
      <c r="N134" s="111">
        <f>IF(M134=0,0,(M134/J134))</f>
        <v>0.49929078014184397</v>
      </c>
    </row>
    <row r="135" spans="2:14">
      <c r="B135" s="73">
        <v>127700</v>
      </c>
      <c r="C135" s="23" t="s">
        <v>1722</v>
      </c>
      <c r="D135" s="123">
        <f>SUMIF(B$3:B$3844,B135,M$3:M$3844)/(SUMIF(B$3:B$3844,B135,J$3:J$3844))</f>
        <v>0.51089833179696098</v>
      </c>
      <c r="E135" s="23">
        <v>36221</v>
      </c>
      <c r="F135" s="46" t="s">
        <v>1756</v>
      </c>
      <c r="G135" s="23"/>
      <c r="H135" s="23"/>
      <c r="I135" s="41">
        <v>352</v>
      </c>
      <c r="J135" s="41">
        <v>434</v>
      </c>
      <c r="K135" s="20"/>
      <c r="L135" s="21"/>
      <c r="M135" s="110">
        <f>IF(L135="",I135,(MIN(J135,(L135*1.6*J135))))</f>
        <v>352</v>
      </c>
      <c r="N135" s="111">
        <f>IF(M135=0,0,(M135/J135))</f>
        <v>0.81105990783410142</v>
      </c>
    </row>
    <row r="136" spans="2:14">
      <c r="B136" s="72">
        <v>127700</v>
      </c>
      <c r="C136" s="47" t="s">
        <v>1722</v>
      </c>
      <c r="D136" s="123">
        <f>SUMIF(B$3:B$3844,B136,M$3:M$3844)/(SUMIF(B$3:B$3844,B136,J$3:J$3844))</f>
        <v>0.51089833179696098</v>
      </c>
      <c r="E136" s="47">
        <v>36175</v>
      </c>
      <c r="F136" s="48" t="s">
        <v>1757</v>
      </c>
      <c r="G136" s="47"/>
      <c r="H136" s="47"/>
      <c r="I136" s="40">
        <v>171</v>
      </c>
      <c r="J136" s="40">
        <v>507</v>
      </c>
      <c r="K136" s="20"/>
      <c r="L136" s="21"/>
      <c r="M136" s="110">
        <f>IF(L136="",I136,(MIN(J136,(L136*1.6*J136))))</f>
        <v>171</v>
      </c>
      <c r="N136" s="111">
        <f>IF(M136=0,0,(M136/J136))</f>
        <v>0.33727810650887574</v>
      </c>
    </row>
    <row r="137" spans="2:14">
      <c r="B137" s="73">
        <v>127700</v>
      </c>
      <c r="C137" s="23" t="s">
        <v>1722</v>
      </c>
      <c r="D137" s="123">
        <f>SUMIF(B$3:B$3844,B137,M$3:M$3844)/(SUMIF(B$3:B$3844,B137,J$3:J$3844))</f>
        <v>0.51089833179696098</v>
      </c>
      <c r="E137" s="23">
        <v>16049289</v>
      </c>
      <c r="F137" s="46" t="s">
        <v>1758</v>
      </c>
      <c r="G137" s="23"/>
      <c r="H137" s="23"/>
      <c r="I137" s="41">
        <v>1140</v>
      </c>
      <c r="J137" s="41">
        <v>1852</v>
      </c>
      <c r="K137" s="20"/>
      <c r="L137" s="21"/>
      <c r="M137" s="110">
        <f>IF(L137="",I137,(MIN(J137,(L137*1.6*J137))))</f>
        <v>1140</v>
      </c>
      <c r="N137" s="111">
        <f>IF(M137=0,0,(M137/J137))</f>
        <v>0.6155507559395248</v>
      </c>
    </row>
    <row r="138" spans="2:14">
      <c r="B138" s="72">
        <v>127700</v>
      </c>
      <c r="C138" s="47" t="s">
        <v>1722</v>
      </c>
      <c r="D138" s="123">
        <f>SUMIF(B$3:B$3844,B138,M$3:M$3844)/(SUMIF(B$3:B$3844,B138,J$3:J$3844))</f>
        <v>0.51089833179696098</v>
      </c>
      <c r="E138" s="47">
        <v>35956</v>
      </c>
      <c r="F138" s="48" t="s">
        <v>1759</v>
      </c>
      <c r="G138" s="47"/>
      <c r="H138" s="47"/>
      <c r="I138" s="40">
        <v>373</v>
      </c>
      <c r="J138" s="40">
        <v>650</v>
      </c>
      <c r="K138" s="20"/>
      <c r="L138" s="21"/>
      <c r="M138" s="110">
        <f>IF(L138="",I138,(MIN(J138,(L138*1.6*J138))))</f>
        <v>373</v>
      </c>
      <c r="N138" s="111">
        <f>IF(M138=0,0,(M138/J138))</f>
        <v>0.57384615384615389</v>
      </c>
    </row>
    <row r="139" spans="2:14">
      <c r="B139" s="73">
        <v>127700</v>
      </c>
      <c r="C139" s="23" t="s">
        <v>1722</v>
      </c>
      <c r="D139" s="123">
        <f>SUMIF(B$3:B$3844,B139,M$3:M$3844)/(SUMIF(B$3:B$3844,B139,J$3:J$3844))</f>
        <v>0.51089833179696098</v>
      </c>
      <c r="E139" s="23">
        <v>36176</v>
      </c>
      <c r="F139" s="46" t="s">
        <v>1760</v>
      </c>
      <c r="G139" s="23"/>
      <c r="H139" s="23"/>
      <c r="I139" s="41">
        <v>177</v>
      </c>
      <c r="J139" s="41">
        <v>753</v>
      </c>
      <c r="K139" s="20"/>
      <c r="L139" s="21"/>
      <c r="M139" s="110">
        <f>IF(L139="",I139,(MIN(J139,(L139*1.6*J139))))</f>
        <v>177</v>
      </c>
      <c r="N139" s="111">
        <f>IF(M139=0,0,(M139/J139))</f>
        <v>0.23505976095617531</v>
      </c>
    </row>
    <row r="140" spans="2:14">
      <c r="B140" s="72">
        <v>127700</v>
      </c>
      <c r="C140" s="47" t="s">
        <v>1722</v>
      </c>
      <c r="D140" s="123">
        <f>SUMIF(B$3:B$3844,B140,M$3:M$3844)/(SUMIF(B$3:B$3844,B140,J$3:J$3844))</f>
        <v>0.51089833179696098</v>
      </c>
      <c r="E140" s="47">
        <v>35984</v>
      </c>
      <c r="F140" s="48" t="s">
        <v>1761</v>
      </c>
      <c r="G140" s="47"/>
      <c r="H140" s="47"/>
      <c r="I140" s="40">
        <v>299</v>
      </c>
      <c r="J140" s="40">
        <v>439</v>
      </c>
      <c r="K140" s="20"/>
      <c r="L140" s="21"/>
      <c r="M140" s="110">
        <f>IF(L140="",I140,(MIN(J140,(L140*1.6*J140))))</f>
        <v>299</v>
      </c>
      <c r="N140" s="111">
        <f>IF(M140=0,0,(M140/J140))</f>
        <v>0.68109339407744873</v>
      </c>
    </row>
    <row r="141" spans="2:14">
      <c r="B141" s="73">
        <v>127700</v>
      </c>
      <c r="C141" s="23" t="s">
        <v>1722</v>
      </c>
      <c r="D141" s="123">
        <f>SUMIF(B$3:B$3844,B141,M$3:M$3844)/(SUMIF(B$3:B$3844,B141,J$3:J$3844))</f>
        <v>0.51089833179696098</v>
      </c>
      <c r="E141" s="23">
        <v>36256</v>
      </c>
      <c r="F141" s="46" t="s">
        <v>505</v>
      </c>
      <c r="G141" s="23"/>
      <c r="H141" s="23"/>
      <c r="I141" s="41">
        <v>232</v>
      </c>
      <c r="J141" s="41">
        <v>608</v>
      </c>
      <c r="K141" s="20"/>
      <c r="L141" s="21"/>
      <c r="M141" s="110">
        <f>IF(L141="",I141,(MIN(J141,(L141*1.6*J141))))</f>
        <v>232</v>
      </c>
      <c r="N141" s="111">
        <f>IF(M141=0,0,(M141/J141))</f>
        <v>0.38157894736842107</v>
      </c>
    </row>
    <row r="142" spans="2:14">
      <c r="B142" s="72">
        <v>127700</v>
      </c>
      <c r="C142" s="47" t="s">
        <v>1722</v>
      </c>
      <c r="D142" s="123">
        <f>SUMIF(B$3:B$3844,B142,M$3:M$3844)/(SUMIF(B$3:B$3844,B142,J$3:J$3844))</f>
        <v>0.51089833179696098</v>
      </c>
      <c r="E142" s="47">
        <v>36195</v>
      </c>
      <c r="F142" s="48" t="s">
        <v>1762</v>
      </c>
      <c r="G142" s="47"/>
      <c r="H142" s="47"/>
      <c r="I142" s="40">
        <v>555</v>
      </c>
      <c r="J142" s="40">
        <v>689</v>
      </c>
      <c r="K142" s="20"/>
      <c r="L142" s="21"/>
      <c r="M142" s="110">
        <f>IF(L142="",I142,(MIN(J142,(L142*1.6*J142))))</f>
        <v>555</v>
      </c>
      <c r="N142" s="111">
        <f>IF(M142=0,0,(M142/J142))</f>
        <v>0.80551523947750359</v>
      </c>
    </row>
    <row r="143" spans="2:14">
      <c r="B143" s="73">
        <v>127700</v>
      </c>
      <c r="C143" s="23" t="s">
        <v>1722</v>
      </c>
      <c r="D143" s="123">
        <f>SUMIF(B$3:B$3844,B143,M$3:M$3844)/(SUMIF(B$3:B$3844,B143,J$3:J$3844))</f>
        <v>0.51089833179696098</v>
      </c>
      <c r="E143" s="23">
        <v>36193</v>
      </c>
      <c r="F143" s="46" t="s">
        <v>1763</v>
      </c>
      <c r="G143" s="23"/>
      <c r="H143" s="23"/>
      <c r="I143" s="41">
        <v>639</v>
      </c>
      <c r="J143" s="41">
        <v>810</v>
      </c>
      <c r="K143" s="20"/>
      <c r="L143" s="21"/>
      <c r="M143" s="110">
        <f>IF(L143="",I143,(MIN(J143,(L143*1.6*J143))))</f>
        <v>639</v>
      </c>
      <c r="N143" s="111">
        <f>IF(M143=0,0,(M143/J143))</f>
        <v>0.78888888888888886</v>
      </c>
    </row>
    <row r="144" spans="2:14">
      <c r="B144" s="72">
        <v>127700</v>
      </c>
      <c r="C144" s="47" t="s">
        <v>1722</v>
      </c>
      <c r="D144" s="123">
        <f>SUMIF(B$3:B$3844,B144,M$3:M$3844)/(SUMIF(B$3:B$3844,B144,J$3:J$3844))</f>
        <v>0.51089833179696098</v>
      </c>
      <c r="E144" s="47">
        <v>36243</v>
      </c>
      <c r="F144" s="48" t="s">
        <v>1764</v>
      </c>
      <c r="G144" s="47"/>
      <c r="H144" s="47"/>
      <c r="I144" s="40">
        <v>219</v>
      </c>
      <c r="J144" s="40">
        <v>637</v>
      </c>
      <c r="K144" s="20"/>
      <c r="L144" s="21"/>
      <c r="M144" s="110">
        <f>IF(L144="",I144,(MIN(J144,(L144*1.6*J144))))</f>
        <v>219</v>
      </c>
      <c r="N144" s="111">
        <f>IF(M144=0,0,(M144/J144))</f>
        <v>0.34379905808477235</v>
      </c>
    </row>
    <row r="145" spans="2:14">
      <c r="B145" s="73">
        <v>127700</v>
      </c>
      <c r="C145" s="23" t="s">
        <v>1722</v>
      </c>
      <c r="D145" s="123">
        <f>SUMIF(B$3:B$3844,B145,M$3:M$3844)/(SUMIF(B$3:B$3844,B145,J$3:J$3844))</f>
        <v>0.51089833179696098</v>
      </c>
      <c r="E145" s="23">
        <v>36187</v>
      </c>
      <c r="F145" s="46" t="s">
        <v>1765</v>
      </c>
      <c r="G145" s="23"/>
      <c r="H145" s="23"/>
      <c r="I145" s="41">
        <v>396</v>
      </c>
      <c r="J145" s="41">
        <v>721</v>
      </c>
      <c r="K145" s="20"/>
      <c r="L145" s="21"/>
      <c r="M145" s="110">
        <f>IF(L145="",I145,(MIN(J145,(L145*1.6*J145))))</f>
        <v>396</v>
      </c>
      <c r="N145" s="111">
        <f>IF(M145=0,0,(M145/J145))</f>
        <v>0.54923717059639388</v>
      </c>
    </row>
    <row r="146" spans="2:14">
      <c r="B146" s="72">
        <v>127700</v>
      </c>
      <c r="C146" s="47" t="s">
        <v>1722</v>
      </c>
      <c r="D146" s="123">
        <f>SUMIF(B$3:B$3844,B146,M$3:M$3844)/(SUMIF(B$3:B$3844,B146,J$3:J$3844))</f>
        <v>0.51089833179696098</v>
      </c>
      <c r="E146" s="47">
        <v>167712</v>
      </c>
      <c r="F146" s="48" t="s">
        <v>812</v>
      </c>
      <c r="G146" s="47"/>
      <c r="H146" s="47"/>
      <c r="I146" s="40">
        <v>155</v>
      </c>
      <c r="J146" s="40">
        <v>631</v>
      </c>
      <c r="K146" s="20"/>
      <c r="L146" s="21"/>
      <c r="M146" s="110">
        <f>IF(L146="",I146,(MIN(J146,(L146*1.6*J146))))</f>
        <v>155</v>
      </c>
      <c r="N146" s="111">
        <f>IF(M146=0,0,(M146/J146))</f>
        <v>0.24564183835182252</v>
      </c>
    </row>
    <row r="147" spans="2:14">
      <c r="B147" s="73">
        <v>127700</v>
      </c>
      <c r="C147" s="23" t="s">
        <v>1722</v>
      </c>
      <c r="D147" s="123">
        <f>SUMIF(B$3:B$3844,B147,M$3:M$3844)/(SUMIF(B$3:B$3844,B147,J$3:J$3844))</f>
        <v>0.51089833179696098</v>
      </c>
      <c r="E147" s="23">
        <v>36219</v>
      </c>
      <c r="F147" s="46" t="s">
        <v>1766</v>
      </c>
      <c r="G147" s="23"/>
      <c r="H147" s="23"/>
      <c r="I147" s="41">
        <v>424</v>
      </c>
      <c r="J147" s="41">
        <v>785</v>
      </c>
      <c r="K147" s="20"/>
      <c r="L147" s="21"/>
      <c r="M147" s="110">
        <f>IF(L147="",I147,(MIN(J147,(L147*1.6*J147))))</f>
        <v>424</v>
      </c>
      <c r="N147" s="111">
        <f>IF(M147=0,0,(M147/J147))</f>
        <v>0.54012738853503184</v>
      </c>
    </row>
    <row r="148" spans="2:14">
      <c r="B148" s="72">
        <v>127700</v>
      </c>
      <c r="C148" s="47" t="s">
        <v>1722</v>
      </c>
      <c r="D148" s="123">
        <f>SUMIF(B$3:B$3844,B148,M$3:M$3844)/(SUMIF(B$3:B$3844,B148,J$3:J$3844))</f>
        <v>0.51089833179696098</v>
      </c>
      <c r="E148" s="47">
        <v>235509</v>
      </c>
      <c r="F148" s="48" t="s">
        <v>1767</v>
      </c>
      <c r="G148" s="47"/>
      <c r="H148" s="47"/>
      <c r="I148" s="40">
        <v>106</v>
      </c>
      <c r="J148" s="40">
        <v>846</v>
      </c>
      <c r="K148" s="20"/>
      <c r="L148" s="21"/>
      <c r="M148" s="110">
        <f>IF(L148="",I148,(MIN(J148,(L148*1.6*J148))))</f>
        <v>106</v>
      </c>
      <c r="N148" s="111">
        <f>IF(M148=0,0,(M148/J148))</f>
        <v>0.12529550827423167</v>
      </c>
    </row>
    <row r="149" spans="2:14" ht="30">
      <c r="B149" s="73">
        <v>127700</v>
      </c>
      <c r="C149" s="23" t="s">
        <v>1722</v>
      </c>
      <c r="D149" s="123">
        <f>SUMIF(B$3:B$3844,B149,M$3:M$3844)/(SUMIF(B$3:B$3844,B149,J$3:J$3844))</f>
        <v>0.51089833179696098</v>
      </c>
      <c r="E149" s="23">
        <v>16043163</v>
      </c>
      <c r="F149" s="46" t="s">
        <v>1768</v>
      </c>
      <c r="G149" s="23"/>
      <c r="H149" s="23"/>
      <c r="I149" s="41">
        <v>417</v>
      </c>
      <c r="J149" s="41">
        <v>1001</v>
      </c>
      <c r="K149" s="20"/>
      <c r="L149" s="21"/>
      <c r="M149" s="110">
        <f>IF(L149="",I149,(MIN(J149,(L149*1.6*J149))))</f>
        <v>417</v>
      </c>
      <c r="N149" s="111">
        <f>IF(M149=0,0,(M149/J149))</f>
        <v>0.41658341658341658</v>
      </c>
    </row>
    <row r="150" spans="2:14">
      <c r="B150" s="72">
        <v>127700</v>
      </c>
      <c r="C150" s="47" t="s">
        <v>1722</v>
      </c>
      <c r="D150" s="123">
        <f>SUMIF(B$3:B$3844,B150,M$3:M$3844)/(SUMIF(B$3:B$3844,B150,J$3:J$3844))</f>
        <v>0.51089833179696098</v>
      </c>
      <c r="E150" s="47">
        <v>36180</v>
      </c>
      <c r="F150" s="48" t="s">
        <v>1769</v>
      </c>
      <c r="G150" s="47"/>
      <c r="H150" s="47"/>
      <c r="I150" s="40">
        <v>322</v>
      </c>
      <c r="J150" s="40">
        <v>742</v>
      </c>
      <c r="K150" s="20"/>
      <c r="L150" s="21"/>
      <c r="M150" s="110">
        <f>IF(L150="",I150,(MIN(J150,(L150*1.6*J150))))</f>
        <v>322</v>
      </c>
      <c r="N150" s="111">
        <f>IF(M150=0,0,(M150/J150))</f>
        <v>0.43396226415094341</v>
      </c>
    </row>
    <row r="151" spans="2:14">
      <c r="B151" s="73">
        <v>127700</v>
      </c>
      <c r="C151" s="23" t="s">
        <v>1722</v>
      </c>
      <c r="D151" s="123">
        <f>SUMIF(B$3:B$3844,B151,M$3:M$3844)/(SUMIF(B$3:B$3844,B151,J$3:J$3844))</f>
        <v>0.51089833179696098</v>
      </c>
      <c r="E151" s="23">
        <v>36163</v>
      </c>
      <c r="F151" s="46" t="s">
        <v>1770</v>
      </c>
      <c r="G151" s="23"/>
      <c r="H151" s="23"/>
      <c r="I151" s="41">
        <v>668</v>
      </c>
      <c r="J151" s="41">
        <v>2226</v>
      </c>
      <c r="K151" s="20"/>
      <c r="L151" s="21"/>
      <c r="M151" s="110">
        <f>IF(L151="",I151,(MIN(J151,(L151*1.6*J151))))</f>
        <v>668</v>
      </c>
      <c r="N151" s="111">
        <f>IF(M151=0,0,(M151/J151))</f>
        <v>0.30008984725965859</v>
      </c>
    </row>
    <row r="152" spans="2:14">
      <c r="B152" s="72">
        <v>127700</v>
      </c>
      <c r="C152" s="47" t="s">
        <v>1722</v>
      </c>
      <c r="D152" s="123">
        <f>SUMIF(B$3:B$3844,B152,M$3:M$3844)/(SUMIF(B$3:B$3844,B152,J$3:J$3844))</f>
        <v>0.51089833179696098</v>
      </c>
      <c r="E152" s="47">
        <v>36244</v>
      </c>
      <c r="F152" s="48" t="s">
        <v>1771</v>
      </c>
      <c r="G152" s="47"/>
      <c r="H152" s="47"/>
      <c r="I152" s="40">
        <v>479</v>
      </c>
      <c r="J152" s="40">
        <v>1543</v>
      </c>
      <c r="K152" s="20"/>
      <c r="L152" s="21"/>
      <c r="M152" s="110">
        <f>IF(L152="",I152,(MIN(J152,(L152*1.6*J152))))</f>
        <v>479</v>
      </c>
      <c r="N152" s="111">
        <f>IF(M152=0,0,(M152/J152))</f>
        <v>0.31043421905379132</v>
      </c>
    </row>
    <row r="153" spans="2:14">
      <c r="B153" s="73">
        <v>127700</v>
      </c>
      <c r="C153" s="23" t="s">
        <v>1722</v>
      </c>
      <c r="D153" s="123">
        <f>SUMIF(B$3:B$3844,B153,M$3:M$3844)/(SUMIF(B$3:B$3844,B153,J$3:J$3844))</f>
        <v>0.51089833179696098</v>
      </c>
      <c r="E153" s="23">
        <v>36250</v>
      </c>
      <c r="F153" s="46" t="s">
        <v>1772</v>
      </c>
      <c r="G153" s="23"/>
      <c r="H153" s="23"/>
      <c r="I153" s="41">
        <v>355</v>
      </c>
      <c r="J153" s="41">
        <v>495</v>
      </c>
      <c r="K153" s="20"/>
      <c r="L153" s="21"/>
      <c r="M153" s="110">
        <f>IF(L153="",I153,(MIN(J153,(L153*1.6*J153))))</f>
        <v>355</v>
      </c>
      <c r="N153" s="111">
        <f>IF(M153=0,0,(M153/J153))</f>
        <v>0.71717171717171713</v>
      </c>
    </row>
    <row r="154" spans="2:14">
      <c r="B154" s="72">
        <v>127700</v>
      </c>
      <c r="C154" s="47" t="s">
        <v>1722</v>
      </c>
      <c r="D154" s="123">
        <f>SUMIF(B$3:B$3844,B154,M$3:M$3844)/(SUMIF(B$3:B$3844,B154,J$3:J$3844))</f>
        <v>0.51089833179696098</v>
      </c>
      <c r="E154" s="47">
        <v>35893</v>
      </c>
      <c r="F154" s="48" t="s">
        <v>1773</v>
      </c>
      <c r="G154" s="47"/>
      <c r="H154" s="47"/>
      <c r="I154" s="40">
        <v>404</v>
      </c>
      <c r="J154" s="40">
        <v>517</v>
      </c>
      <c r="K154" s="20"/>
      <c r="L154" s="21"/>
      <c r="M154" s="110">
        <f>IF(L154="",I154,(MIN(J154,(L154*1.6*J154))))</f>
        <v>404</v>
      </c>
      <c r="N154" s="111">
        <f>IF(M154=0,0,(M154/J154))</f>
        <v>0.78143133462282399</v>
      </c>
    </row>
    <row r="155" spans="2:14" ht="30">
      <c r="B155" s="73">
        <v>127700</v>
      </c>
      <c r="C155" s="23" t="s">
        <v>1722</v>
      </c>
      <c r="D155" s="123">
        <f>SUMIF(B$3:B$3844,B155,M$3:M$3844)/(SUMIF(B$3:B$3844,B155,J$3:J$3844))</f>
        <v>0.51089833179696098</v>
      </c>
      <c r="E155" s="23">
        <v>227017</v>
      </c>
      <c r="F155" s="46" t="s">
        <v>1774</v>
      </c>
      <c r="G155" s="23"/>
      <c r="H155" s="23"/>
      <c r="I155" s="41">
        <v>32</v>
      </c>
      <c r="J155" s="41">
        <v>44</v>
      </c>
      <c r="K155" s="20"/>
      <c r="L155" s="21"/>
      <c r="M155" s="110">
        <f>IF(L155="",I155,(MIN(J155,(L155*1.6*J155))))</f>
        <v>32</v>
      </c>
      <c r="N155" s="111">
        <f>IF(M155=0,0,(M155/J155))</f>
        <v>0.72727272727272729</v>
      </c>
    </row>
    <row r="156" spans="2:14">
      <c r="B156" s="72">
        <v>127700</v>
      </c>
      <c r="C156" s="47" t="s">
        <v>1722</v>
      </c>
      <c r="D156" s="123">
        <f>SUMIF(B$3:B$3844,B156,M$3:M$3844)/(SUMIF(B$3:B$3844,B156,J$3:J$3844))</f>
        <v>0.51089833179696098</v>
      </c>
      <c r="E156" s="47">
        <v>35985</v>
      </c>
      <c r="F156" s="48" t="s">
        <v>1775</v>
      </c>
      <c r="G156" s="47"/>
      <c r="H156" s="47"/>
      <c r="I156" s="40">
        <v>589</v>
      </c>
      <c r="J156" s="40">
        <v>856</v>
      </c>
      <c r="K156" s="20"/>
      <c r="L156" s="21"/>
      <c r="M156" s="110">
        <f>IF(L156="",I156,(MIN(J156,(L156*1.6*J156))))</f>
        <v>589</v>
      </c>
      <c r="N156" s="111">
        <f>IF(M156=0,0,(M156/J156))</f>
        <v>0.68808411214953269</v>
      </c>
    </row>
    <row r="157" spans="2:14">
      <c r="B157" s="73">
        <v>127700</v>
      </c>
      <c r="C157" s="23" t="s">
        <v>1722</v>
      </c>
      <c r="D157" s="123">
        <f>SUMIF(B$3:B$3844,B157,M$3:M$3844)/(SUMIF(B$3:B$3844,B157,J$3:J$3844))</f>
        <v>0.51089833179696098</v>
      </c>
      <c r="E157" s="23">
        <v>36233</v>
      </c>
      <c r="F157" s="46" t="s">
        <v>1776</v>
      </c>
      <c r="G157" s="23"/>
      <c r="H157" s="23"/>
      <c r="I157" s="41">
        <v>192</v>
      </c>
      <c r="J157" s="41">
        <v>532</v>
      </c>
      <c r="K157" s="20"/>
      <c r="L157" s="21"/>
      <c r="M157" s="110">
        <f>IF(L157="",I157,(MIN(J157,(L157*1.6*J157))))</f>
        <v>192</v>
      </c>
      <c r="N157" s="111">
        <f>IF(M157=0,0,(M157/J157))</f>
        <v>0.36090225563909772</v>
      </c>
    </row>
    <row r="158" spans="2:14">
      <c r="B158" s="72">
        <v>127700</v>
      </c>
      <c r="C158" s="47" t="s">
        <v>1722</v>
      </c>
      <c r="D158" s="123">
        <f>SUMIF(B$3:B$3844,B158,M$3:M$3844)/(SUMIF(B$3:B$3844,B158,J$3:J$3844))</f>
        <v>0.51089833179696098</v>
      </c>
      <c r="E158" s="47">
        <v>228258</v>
      </c>
      <c r="F158" s="48" t="s">
        <v>1777</v>
      </c>
      <c r="G158" s="47"/>
      <c r="H158" s="47"/>
      <c r="I158" s="40">
        <v>1</v>
      </c>
      <c r="J158" s="40">
        <v>11</v>
      </c>
      <c r="K158" s="20"/>
      <c r="L158" s="21"/>
      <c r="M158" s="110">
        <f>IF(L158="",I158,(MIN(J158,(L158*1.6*J158))))</f>
        <v>1</v>
      </c>
      <c r="N158" s="111">
        <f>IF(M158=0,0,(M158/J158))</f>
        <v>9.0909090909090912E-2</v>
      </c>
    </row>
    <row r="159" spans="2:14">
      <c r="B159" s="73">
        <v>127700</v>
      </c>
      <c r="C159" s="23" t="s">
        <v>1722</v>
      </c>
      <c r="D159" s="123">
        <f>SUMIF(B$3:B$3844,B159,M$3:M$3844)/(SUMIF(B$3:B$3844,B159,J$3:J$3844))</f>
        <v>0.51089833179696098</v>
      </c>
      <c r="E159" s="23">
        <v>36184</v>
      </c>
      <c r="F159" s="46" t="s">
        <v>1778</v>
      </c>
      <c r="G159" s="23"/>
      <c r="H159" s="23"/>
      <c r="I159" s="41">
        <v>695</v>
      </c>
      <c r="J159" s="41">
        <v>815</v>
      </c>
      <c r="K159" s="20"/>
      <c r="L159" s="21"/>
      <c r="M159" s="110">
        <f>IF(L159="",I159,(MIN(J159,(L159*1.6*J159))))</f>
        <v>695</v>
      </c>
      <c r="N159" s="111">
        <f>IF(M159=0,0,(M159/J159))</f>
        <v>0.85276073619631898</v>
      </c>
    </row>
    <row r="160" spans="2:14">
      <c r="B160" s="72">
        <v>127700</v>
      </c>
      <c r="C160" s="47" t="s">
        <v>1722</v>
      </c>
      <c r="D160" s="123">
        <f>SUMIF(B$3:B$3844,B160,M$3:M$3844)/(SUMIF(B$3:B$3844,B160,J$3:J$3844))</f>
        <v>0.51089833179696098</v>
      </c>
      <c r="E160" s="47">
        <v>36173</v>
      </c>
      <c r="F160" s="48" t="s">
        <v>1779</v>
      </c>
      <c r="G160" s="47"/>
      <c r="H160" s="47"/>
      <c r="I160" s="40">
        <v>950</v>
      </c>
      <c r="J160" s="40">
        <v>1570</v>
      </c>
      <c r="K160" s="20"/>
      <c r="L160" s="21"/>
      <c r="M160" s="110">
        <f>IF(L160="",I160,(MIN(J160,(L160*1.6*J160))))</f>
        <v>950</v>
      </c>
      <c r="N160" s="111">
        <f>IF(M160=0,0,(M160/J160))</f>
        <v>0.60509554140127386</v>
      </c>
    </row>
    <row r="161" spans="2:14">
      <c r="B161" s="73">
        <v>127700</v>
      </c>
      <c r="C161" s="23" t="s">
        <v>1722</v>
      </c>
      <c r="D161" s="123">
        <f>SUMIF(B$3:B$3844,B161,M$3:M$3844)/(SUMIF(B$3:B$3844,B161,J$3:J$3844))</f>
        <v>0.51089833179696098</v>
      </c>
      <c r="E161" s="23">
        <v>35895</v>
      </c>
      <c r="F161" s="46" t="s">
        <v>176</v>
      </c>
      <c r="G161" s="23"/>
      <c r="H161" s="23"/>
      <c r="I161" s="41">
        <v>304</v>
      </c>
      <c r="J161" s="41">
        <v>479</v>
      </c>
      <c r="K161" s="20"/>
      <c r="L161" s="21"/>
      <c r="M161" s="110">
        <f>IF(L161="",I161,(MIN(J161,(L161*1.6*J161))))</f>
        <v>304</v>
      </c>
      <c r="N161" s="111">
        <f>IF(M161=0,0,(M161/J161))</f>
        <v>0.63465553235908145</v>
      </c>
    </row>
    <row r="162" spans="2:14">
      <c r="B162" s="72">
        <v>127700</v>
      </c>
      <c r="C162" s="47" t="s">
        <v>1722</v>
      </c>
      <c r="D162" s="123">
        <f>SUMIF(B$3:B$3844,B162,M$3:M$3844)/(SUMIF(B$3:B$3844,B162,J$3:J$3844))</f>
        <v>0.51089833179696098</v>
      </c>
      <c r="E162" s="47">
        <v>36190</v>
      </c>
      <c r="F162" s="48" t="s">
        <v>1780</v>
      </c>
      <c r="G162" s="47"/>
      <c r="H162" s="47"/>
      <c r="I162" s="40">
        <v>550</v>
      </c>
      <c r="J162" s="40">
        <v>761</v>
      </c>
      <c r="K162" s="20"/>
      <c r="L162" s="21"/>
      <c r="M162" s="110">
        <f>IF(L162="",I162,(MIN(J162,(L162*1.6*J162))))</f>
        <v>550</v>
      </c>
      <c r="N162" s="111">
        <f>IF(M162=0,0,(M162/J162))</f>
        <v>0.72273324572930353</v>
      </c>
    </row>
    <row r="163" spans="2:14">
      <c r="B163" s="73">
        <v>127700</v>
      </c>
      <c r="C163" s="23" t="s">
        <v>1722</v>
      </c>
      <c r="D163" s="123">
        <f>SUMIF(B$3:B$3844,B163,M$3:M$3844)/(SUMIF(B$3:B$3844,B163,J$3:J$3844))</f>
        <v>0.51089833179696098</v>
      </c>
      <c r="E163" s="23">
        <v>16028305</v>
      </c>
      <c r="F163" s="46" t="s">
        <v>1781</v>
      </c>
      <c r="G163" s="23"/>
      <c r="H163" s="23"/>
      <c r="I163" s="41">
        <v>166</v>
      </c>
      <c r="J163" s="41">
        <v>848</v>
      </c>
      <c r="K163" s="20"/>
      <c r="L163" s="21"/>
      <c r="M163" s="110">
        <f>IF(L163="",I163,(MIN(J163,(L163*1.6*J163))))</f>
        <v>166</v>
      </c>
      <c r="N163" s="111">
        <f>IF(M163=0,0,(M163/J163))</f>
        <v>0.19575471698113209</v>
      </c>
    </row>
    <row r="164" spans="2:14">
      <c r="B164" s="72">
        <v>127700</v>
      </c>
      <c r="C164" s="47" t="s">
        <v>1722</v>
      </c>
      <c r="D164" s="123">
        <f>SUMIF(B$3:B$3844,B164,M$3:M$3844)/(SUMIF(B$3:B$3844,B164,J$3:J$3844))</f>
        <v>0.51089833179696098</v>
      </c>
      <c r="E164" s="47">
        <v>211091</v>
      </c>
      <c r="F164" s="48" t="s">
        <v>1782</v>
      </c>
      <c r="G164" s="47"/>
      <c r="H164" s="47"/>
      <c r="I164" s="40">
        <v>184</v>
      </c>
      <c r="J164" s="40">
        <v>559</v>
      </c>
      <c r="K164" s="20"/>
      <c r="L164" s="21"/>
      <c r="M164" s="110">
        <f>IF(L164="",I164,(MIN(J164,(L164*1.6*J164))))</f>
        <v>184</v>
      </c>
      <c r="N164" s="111">
        <f>IF(M164=0,0,(M164/J164))</f>
        <v>0.3291592128801431</v>
      </c>
    </row>
    <row r="165" spans="2:14">
      <c r="B165" s="73">
        <v>127700</v>
      </c>
      <c r="C165" s="23" t="s">
        <v>1722</v>
      </c>
      <c r="D165" s="123">
        <f>SUMIF(B$3:B$3844,B165,M$3:M$3844)/(SUMIF(B$3:B$3844,B165,J$3:J$3844))</f>
        <v>0.51089833179696098</v>
      </c>
      <c r="E165" s="23">
        <v>35952</v>
      </c>
      <c r="F165" s="46" t="s">
        <v>1783</v>
      </c>
      <c r="G165" s="23"/>
      <c r="H165" s="23"/>
      <c r="I165" s="41"/>
      <c r="J165" s="41">
        <v>132</v>
      </c>
      <c r="K165" s="20">
        <v>2014</v>
      </c>
      <c r="L165" s="21">
        <v>0.92310000000000003</v>
      </c>
      <c r="M165" s="110">
        <f>IF(L165="",I165,(MIN(J165,(L165*1.6*J165))))</f>
        <v>132</v>
      </c>
      <c r="N165" s="111">
        <f>IF(M165=0,0,(M165/J165))</f>
        <v>1</v>
      </c>
    </row>
    <row r="166" spans="2:14">
      <c r="B166" s="72">
        <v>127700</v>
      </c>
      <c r="C166" s="47" t="s">
        <v>1722</v>
      </c>
      <c r="D166" s="123">
        <f>SUMIF(B$3:B$3844,B166,M$3:M$3844)/(SUMIF(B$3:B$3844,B166,J$3:J$3844))</f>
        <v>0.51089833179696098</v>
      </c>
      <c r="E166" s="47">
        <v>36186</v>
      </c>
      <c r="F166" s="48" t="s">
        <v>1784</v>
      </c>
      <c r="G166" s="47"/>
      <c r="H166" s="47"/>
      <c r="I166" s="40">
        <v>551</v>
      </c>
      <c r="J166" s="40">
        <v>689</v>
      </c>
      <c r="K166" s="20"/>
      <c r="L166" s="21"/>
      <c r="M166" s="110">
        <f>IF(L166="",I166,(MIN(J166,(L166*1.6*J166))))</f>
        <v>551</v>
      </c>
      <c r="N166" s="111">
        <f>IF(M166=0,0,(M166/J166))</f>
        <v>0.79970972423802611</v>
      </c>
    </row>
    <row r="167" spans="2:14">
      <c r="B167" s="73">
        <v>127700</v>
      </c>
      <c r="C167" s="23" t="s">
        <v>1722</v>
      </c>
      <c r="D167" s="123">
        <f>SUMIF(B$3:B$3844,B167,M$3:M$3844)/(SUMIF(B$3:B$3844,B167,J$3:J$3844))</f>
        <v>0.51089833179696098</v>
      </c>
      <c r="E167" s="23">
        <v>164382</v>
      </c>
      <c r="F167" s="46" t="s">
        <v>1785</v>
      </c>
      <c r="G167" s="23"/>
      <c r="H167" s="23"/>
      <c r="I167" s="41">
        <v>97</v>
      </c>
      <c r="J167" s="41">
        <v>489</v>
      </c>
      <c r="K167" s="20"/>
      <c r="L167" s="21"/>
      <c r="M167" s="110">
        <f>IF(L167="",I167,(MIN(J167,(L167*1.6*J167))))</f>
        <v>97</v>
      </c>
      <c r="N167" s="111">
        <f>IF(M167=0,0,(M167/J167))</f>
        <v>0.19836400817995911</v>
      </c>
    </row>
    <row r="168" spans="2:14">
      <c r="B168" s="72">
        <v>127700</v>
      </c>
      <c r="C168" s="47" t="s">
        <v>1722</v>
      </c>
      <c r="D168" s="123">
        <f>SUMIF(B$3:B$3844,B168,M$3:M$3844)/(SUMIF(B$3:B$3844,B168,J$3:J$3844))</f>
        <v>0.51089833179696098</v>
      </c>
      <c r="E168" s="47">
        <v>36252</v>
      </c>
      <c r="F168" s="48" t="s">
        <v>1786</v>
      </c>
      <c r="G168" s="47"/>
      <c r="H168" s="47"/>
      <c r="I168" s="40">
        <v>591</v>
      </c>
      <c r="J168" s="40">
        <v>1447</v>
      </c>
      <c r="K168" s="20"/>
      <c r="L168" s="21"/>
      <c r="M168" s="110">
        <f>IF(L168="",I168,(MIN(J168,(L168*1.6*J168))))</f>
        <v>591</v>
      </c>
      <c r="N168" s="111">
        <f>IF(M168=0,0,(M168/J168))</f>
        <v>0.40843123704215617</v>
      </c>
    </row>
    <row r="169" spans="2:14">
      <c r="B169" s="73">
        <v>127700</v>
      </c>
      <c r="C169" s="23" t="s">
        <v>1722</v>
      </c>
      <c r="D169" s="123">
        <f>SUMIF(B$3:B$3844,B169,M$3:M$3844)/(SUMIF(B$3:B$3844,B169,J$3:J$3844))</f>
        <v>0.51089833179696098</v>
      </c>
      <c r="E169" s="23">
        <v>36201</v>
      </c>
      <c r="F169" s="46" t="s">
        <v>1787</v>
      </c>
      <c r="G169" s="23"/>
      <c r="H169" s="23"/>
      <c r="I169" s="41">
        <v>231</v>
      </c>
      <c r="J169" s="41">
        <v>472</v>
      </c>
      <c r="K169" s="20"/>
      <c r="L169" s="21"/>
      <c r="M169" s="110">
        <f>IF(L169="",I169,(MIN(J169,(L169*1.6*J169))))</f>
        <v>231</v>
      </c>
      <c r="N169" s="111">
        <f>IF(M169=0,0,(M169/J169))</f>
        <v>0.48940677966101692</v>
      </c>
    </row>
    <row r="170" spans="2:14">
      <c r="B170" s="72">
        <v>127700</v>
      </c>
      <c r="C170" s="47" t="s">
        <v>1722</v>
      </c>
      <c r="D170" s="123">
        <f>SUMIF(B$3:B$3844,B170,M$3:M$3844)/(SUMIF(B$3:B$3844,B170,J$3:J$3844))</f>
        <v>0.51089833179696098</v>
      </c>
      <c r="E170" s="47">
        <v>36227</v>
      </c>
      <c r="F170" s="48" t="s">
        <v>1788</v>
      </c>
      <c r="G170" s="47"/>
      <c r="H170" s="47"/>
      <c r="I170" s="40">
        <v>394</v>
      </c>
      <c r="J170" s="40">
        <v>606</v>
      </c>
      <c r="K170" s="20"/>
      <c r="L170" s="21"/>
      <c r="M170" s="110">
        <f>IF(L170="",I170,(MIN(J170,(L170*1.6*J170))))</f>
        <v>394</v>
      </c>
      <c r="N170" s="111">
        <f>IF(M170=0,0,(M170/J170))</f>
        <v>0.65016501650165015</v>
      </c>
    </row>
    <row r="171" spans="2:14">
      <c r="B171" s="73">
        <v>127700</v>
      </c>
      <c r="C171" s="23" t="s">
        <v>1722</v>
      </c>
      <c r="D171" s="123">
        <f>SUMIF(B$3:B$3844,B171,M$3:M$3844)/(SUMIF(B$3:B$3844,B171,J$3:J$3844))</f>
        <v>0.51089833179696098</v>
      </c>
      <c r="E171" s="23">
        <v>36225</v>
      </c>
      <c r="F171" s="46" t="s">
        <v>1789</v>
      </c>
      <c r="G171" s="23"/>
      <c r="H171" s="23"/>
      <c r="I171" s="41">
        <v>381</v>
      </c>
      <c r="J171" s="41">
        <v>565</v>
      </c>
      <c r="K171" s="20"/>
      <c r="L171" s="21"/>
      <c r="M171" s="110">
        <f>IF(L171="",I171,(MIN(J171,(L171*1.6*J171))))</f>
        <v>381</v>
      </c>
      <c r="N171" s="111">
        <f>IF(M171=0,0,(M171/J171))</f>
        <v>0.67433628318584071</v>
      </c>
    </row>
    <row r="172" spans="2:14">
      <c r="B172" s="72">
        <v>127700</v>
      </c>
      <c r="C172" s="47" t="s">
        <v>1722</v>
      </c>
      <c r="D172" s="123">
        <f>SUMIF(B$3:B$3844,B172,M$3:M$3844)/(SUMIF(B$3:B$3844,B172,J$3:J$3844))</f>
        <v>0.51089833179696098</v>
      </c>
      <c r="E172" s="47">
        <v>36231</v>
      </c>
      <c r="F172" s="48" t="s">
        <v>1790</v>
      </c>
      <c r="G172" s="47"/>
      <c r="H172" s="47"/>
      <c r="I172" s="40">
        <v>263</v>
      </c>
      <c r="J172" s="40">
        <v>1343</v>
      </c>
      <c r="K172" s="20"/>
      <c r="L172" s="21"/>
      <c r="M172" s="110">
        <f>IF(L172="",I172,(MIN(J172,(L172*1.6*J172))))</f>
        <v>263</v>
      </c>
      <c r="N172" s="111">
        <f>IF(M172=0,0,(M172/J172))</f>
        <v>0.19583023082650783</v>
      </c>
    </row>
    <row r="173" spans="2:14">
      <c r="B173" s="73">
        <v>127700</v>
      </c>
      <c r="C173" s="23" t="s">
        <v>1722</v>
      </c>
      <c r="D173" s="123">
        <f>SUMIF(B$3:B$3844,B173,M$3:M$3844)/(SUMIF(B$3:B$3844,B173,J$3:J$3844))</f>
        <v>0.51089833179696098</v>
      </c>
      <c r="E173" s="23">
        <v>36204</v>
      </c>
      <c r="F173" s="46" t="s">
        <v>1791</v>
      </c>
      <c r="G173" s="23"/>
      <c r="H173" s="23"/>
      <c r="I173" s="41"/>
      <c r="J173" s="41">
        <v>786</v>
      </c>
      <c r="K173" s="20">
        <v>2014</v>
      </c>
      <c r="L173" s="21">
        <v>0.73109999999999997</v>
      </c>
      <c r="M173" s="110">
        <f>IF(L173="",I173,(MIN(J173,(L173*1.6*J173))))</f>
        <v>786</v>
      </c>
      <c r="N173" s="111">
        <f>IF(M173=0,0,(M173/J173))</f>
        <v>1</v>
      </c>
    </row>
    <row r="174" spans="2:14">
      <c r="B174" s="72">
        <v>127700</v>
      </c>
      <c r="C174" s="47" t="s">
        <v>1722</v>
      </c>
      <c r="D174" s="123">
        <f>SUMIF(B$3:B$3844,B174,M$3:M$3844)/(SUMIF(B$3:B$3844,B174,J$3:J$3844))</f>
        <v>0.51089833179696098</v>
      </c>
      <c r="E174" s="47">
        <v>36228</v>
      </c>
      <c r="F174" s="48" t="s">
        <v>1792</v>
      </c>
      <c r="G174" s="47"/>
      <c r="H174" s="47"/>
      <c r="I174" s="40">
        <v>105</v>
      </c>
      <c r="J174" s="40">
        <v>330</v>
      </c>
      <c r="K174" s="20"/>
      <c r="L174" s="21"/>
      <c r="M174" s="110">
        <f>IF(L174="",I174,(MIN(J174,(L174*1.6*J174))))</f>
        <v>105</v>
      </c>
      <c r="N174" s="111">
        <f>IF(M174=0,0,(M174/J174))</f>
        <v>0.31818181818181818</v>
      </c>
    </row>
    <row r="175" spans="2:14">
      <c r="B175" s="73">
        <v>127700</v>
      </c>
      <c r="C175" s="23" t="s">
        <v>1722</v>
      </c>
      <c r="D175" s="123">
        <f>SUMIF(B$3:B$3844,B175,M$3:M$3844)/(SUMIF(B$3:B$3844,B175,J$3:J$3844))</f>
        <v>0.51089833179696098</v>
      </c>
      <c r="E175" s="23">
        <v>36224</v>
      </c>
      <c r="F175" s="46" t="s">
        <v>830</v>
      </c>
      <c r="G175" s="23"/>
      <c r="H175" s="23"/>
      <c r="I175" s="41">
        <v>297</v>
      </c>
      <c r="J175" s="41">
        <v>518</v>
      </c>
      <c r="K175" s="20"/>
      <c r="L175" s="21"/>
      <c r="M175" s="110">
        <f>IF(L175="",I175,(MIN(J175,(L175*1.6*J175))))</f>
        <v>297</v>
      </c>
      <c r="N175" s="111">
        <f>IF(M175=0,0,(M175/J175))</f>
        <v>0.57335907335907332</v>
      </c>
    </row>
    <row r="176" spans="2:14">
      <c r="B176" s="72">
        <v>127700</v>
      </c>
      <c r="C176" s="47" t="s">
        <v>1722</v>
      </c>
      <c r="D176" s="123">
        <f>SUMIF(B$3:B$3844,B176,M$3:M$3844)/(SUMIF(B$3:B$3844,B176,J$3:J$3844))</f>
        <v>0.51089833179696098</v>
      </c>
      <c r="E176" s="47">
        <v>228257</v>
      </c>
      <c r="F176" s="48" t="s">
        <v>1793</v>
      </c>
      <c r="G176" s="47"/>
      <c r="H176" s="47"/>
      <c r="I176" s="40">
        <v>32</v>
      </c>
      <c r="J176" s="40">
        <v>44</v>
      </c>
      <c r="K176" s="20"/>
      <c r="L176" s="21"/>
      <c r="M176" s="110">
        <f>IF(L176="",I176,(MIN(J176,(L176*1.6*J176))))</f>
        <v>32</v>
      </c>
      <c r="N176" s="111">
        <f>IF(M176=0,0,(M176/J176))</f>
        <v>0.72727272727272729</v>
      </c>
    </row>
    <row r="177" spans="2:14">
      <c r="B177" s="73">
        <v>127700</v>
      </c>
      <c r="C177" s="23" t="s">
        <v>1722</v>
      </c>
      <c r="D177" s="123">
        <f>SUMIF(B$3:B$3844,B177,M$3:M$3844)/(SUMIF(B$3:B$3844,B177,J$3:J$3844))</f>
        <v>0.51089833179696098</v>
      </c>
      <c r="E177" s="23">
        <v>16058470</v>
      </c>
      <c r="F177" s="46" t="s">
        <v>1794</v>
      </c>
      <c r="G177" s="23"/>
      <c r="H177" s="23"/>
      <c r="I177" s="41"/>
      <c r="J177" s="41">
        <v>32</v>
      </c>
      <c r="K177" s="20">
        <v>2014</v>
      </c>
      <c r="L177" s="21">
        <v>1</v>
      </c>
      <c r="M177" s="110">
        <f>IF(L177="",I177,(MIN(J177,(L177*1.6*J177))))</f>
        <v>32</v>
      </c>
      <c r="N177" s="111">
        <f>IF(M177=0,0,(M177/J177))</f>
        <v>1</v>
      </c>
    </row>
    <row r="178" spans="2:14">
      <c r="B178" s="72">
        <v>127700</v>
      </c>
      <c r="C178" s="47" t="s">
        <v>1722</v>
      </c>
      <c r="D178" s="123">
        <f>SUMIF(B$3:B$3844,B178,M$3:M$3844)/(SUMIF(B$3:B$3844,B178,J$3:J$3844))</f>
        <v>0.51089833179696098</v>
      </c>
      <c r="E178" s="47">
        <v>36194</v>
      </c>
      <c r="F178" s="48" t="s">
        <v>1356</v>
      </c>
      <c r="G178" s="47"/>
      <c r="H178" s="47"/>
      <c r="I178" s="40">
        <v>579</v>
      </c>
      <c r="J178" s="40">
        <v>881</v>
      </c>
      <c r="K178" s="20"/>
      <c r="L178" s="21"/>
      <c r="M178" s="110">
        <f>IF(L178="",I178,(MIN(J178,(L178*1.6*J178))))</f>
        <v>579</v>
      </c>
      <c r="N178" s="111">
        <f>IF(M178=0,0,(M178/J178))</f>
        <v>0.65720771850170256</v>
      </c>
    </row>
    <row r="179" spans="2:14">
      <c r="B179" s="73">
        <v>127700</v>
      </c>
      <c r="C179" s="23" t="s">
        <v>1722</v>
      </c>
      <c r="D179" s="123">
        <f>SUMIF(B$3:B$3844,B179,M$3:M$3844)/(SUMIF(B$3:B$3844,B179,J$3:J$3844))</f>
        <v>0.51089833179696098</v>
      </c>
      <c r="E179" s="23">
        <v>36211</v>
      </c>
      <c r="F179" s="46" t="s">
        <v>1795</v>
      </c>
      <c r="G179" s="23"/>
      <c r="H179" s="23"/>
      <c r="I179" s="41">
        <v>631</v>
      </c>
      <c r="J179" s="41">
        <v>1474</v>
      </c>
      <c r="K179" s="20"/>
      <c r="L179" s="21"/>
      <c r="M179" s="110">
        <f>IF(L179="",I179,(MIN(J179,(L179*1.6*J179))))</f>
        <v>631</v>
      </c>
      <c r="N179" s="111">
        <f>IF(M179=0,0,(M179/J179))</f>
        <v>0.42808683853459972</v>
      </c>
    </row>
    <row r="180" spans="2:14">
      <c r="B180" s="72">
        <v>127700</v>
      </c>
      <c r="C180" s="47" t="s">
        <v>1722</v>
      </c>
      <c r="D180" s="123">
        <f>SUMIF(B$3:B$3844,B180,M$3:M$3844)/(SUMIF(B$3:B$3844,B180,J$3:J$3844))</f>
        <v>0.51089833179696098</v>
      </c>
      <c r="E180" s="47">
        <v>36230</v>
      </c>
      <c r="F180" s="48" t="s">
        <v>1796</v>
      </c>
      <c r="G180" s="47"/>
      <c r="H180" s="47"/>
      <c r="I180" s="40">
        <v>117</v>
      </c>
      <c r="J180" s="40">
        <v>432</v>
      </c>
      <c r="K180" s="20"/>
      <c r="L180" s="21"/>
      <c r="M180" s="110">
        <f>IF(L180="",I180,(MIN(J180,(L180*1.6*J180))))</f>
        <v>117</v>
      </c>
      <c r="N180" s="111">
        <f>IF(M180=0,0,(M180/J180))</f>
        <v>0.27083333333333331</v>
      </c>
    </row>
    <row r="181" spans="2:14">
      <c r="B181" s="73">
        <v>127700</v>
      </c>
      <c r="C181" s="23" t="s">
        <v>1722</v>
      </c>
      <c r="D181" s="123">
        <f>SUMIF(B$3:B$3844,B181,M$3:M$3844)/(SUMIF(B$3:B$3844,B181,J$3:J$3844))</f>
        <v>0.51089833179696098</v>
      </c>
      <c r="E181" s="23">
        <v>36170</v>
      </c>
      <c r="F181" s="46" t="s">
        <v>1797</v>
      </c>
      <c r="G181" s="23"/>
      <c r="H181" s="23"/>
      <c r="I181" s="41">
        <v>588</v>
      </c>
      <c r="J181" s="41">
        <v>836</v>
      </c>
      <c r="K181" s="20"/>
      <c r="L181" s="21"/>
      <c r="M181" s="110">
        <f>IF(L181="",I181,(MIN(J181,(L181*1.6*J181))))</f>
        <v>588</v>
      </c>
      <c r="N181" s="111">
        <f>IF(M181=0,0,(M181/J181))</f>
        <v>0.70334928229665072</v>
      </c>
    </row>
    <row r="182" spans="2:14">
      <c r="B182" s="72">
        <v>127700</v>
      </c>
      <c r="C182" s="47" t="s">
        <v>1722</v>
      </c>
      <c r="D182" s="123">
        <f>SUMIF(B$3:B$3844,B182,M$3:M$3844)/(SUMIF(B$3:B$3844,B182,J$3:J$3844))</f>
        <v>0.51089833179696098</v>
      </c>
      <c r="E182" s="47">
        <v>16037799</v>
      </c>
      <c r="F182" s="48" t="s">
        <v>924</v>
      </c>
      <c r="G182" s="47"/>
      <c r="H182" s="47"/>
      <c r="I182" s="40">
        <v>536</v>
      </c>
      <c r="J182" s="40">
        <v>843</v>
      </c>
      <c r="K182" s="20"/>
      <c r="L182" s="21"/>
      <c r="M182" s="110">
        <f>IF(L182="",I182,(MIN(J182,(L182*1.6*J182))))</f>
        <v>536</v>
      </c>
      <c r="N182" s="111">
        <f>IF(M182=0,0,(M182/J182))</f>
        <v>0.63582443653618026</v>
      </c>
    </row>
    <row r="183" spans="2:14">
      <c r="B183" s="73">
        <v>127700</v>
      </c>
      <c r="C183" s="23" t="s">
        <v>1722</v>
      </c>
      <c r="D183" s="123">
        <f>SUMIF(B$3:B$3844,B183,M$3:M$3844)/(SUMIF(B$3:B$3844,B183,J$3:J$3844))</f>
        <v>0.51089833179696098</v>
      </c>
      <c r="E183" s="23">
        <v>36235</v>
      </c>
      <c r="F183" s="46" t="s">
        <v>1798</v>
      </c>
      <c r="G183" s="23"/>
      <c r="H183" s="23"/>
      <c r="I183" s="41">
        <v>149</v>
      </c>
      <c r="J183" s="41">
        <v>649</v>
      </c>
      <c r="K183" s="20"/>
      <c r="L183" s="21"/>
      <c r="M183" s="110">
        <f>IF(L183="",I183,(MIN(J183,(L183*1.6*J183))))</f>
        <v>149</v>
      </c>
      <c r="N183" s="111">
        <f>IF(M183=0,0,(M183/J183))</f>
        <v>0.2295839753466872</v>
      </c>
    </row>
    <row r="184" spans="2:14">
      <c r="B184" s="72">
        <v>127700</v>
      </c>
      <c r="C184" s="47" t="s">
        <v>1722</v>
      </c>
      <c r="D184" s="123">
        <f>SUMIF(B$3:B$3844,B184,M$3:M$3844)/(SUMIF(B$3:B$3844,B184,J$3:J$3844))</f>
        <v>0.51089833179696098</v>
      </c>
      <c r="E184" s="47">
        <v>36232</v>
      </c>
      <c r="F184" s="48" t="s">
        <v>1799</v>
      </c>
      <c r="G184" s="47"/>
      <c r="H184" s="47"/>
      <c r="I184" s="40">
        <v>99</v>
      </c>
      <c r="J184" s="40">
        <v>449</v>
      </c>
      <c r="K184" s="20"/>
      <c r="L184" s="21"/>
      <c r="M184" s="110">
        <f>IF(L184="",I184,(MIN(J184,(L184*1.6*J184))))</f>
        <v>99</v>
      </c>
      <c r="N184" s="111">
        <f>IF(M184=0,0,(M184/J184))</f>
        <v>0.22048997772828507</v>
      </c>
    </row>
    <row r="185" spans="2:14">
      <c r="B185" s="73">
        <v>127700</v>
      </c>
      <c r="C185" s="23" t="s">
        <v>1722</v>
      </c>
      <c r="D185" s="123">
        <f>SUMIF(B$3:B$3844,B185,M$3:M$3844)/(SUMIF(B$3:B$3844,B185,J$3:J$3844))</f>
        <v>0.51089833179696098</v>
      </c>
      <c r="E185" s="23">
        <v>36212</v>
      </c>
      <c r="F185" s="46" t="s">
        <v>1800</v>
      </c>
      <c r="G185" s="23"/>
      <c r="H185" s="23"/>
      <c r="I185" s="41">
        <v>153</v>
      </c>
      <c r="J185" s="41">
        <v>375</v>
      </c>
      <c r="K185" s="20"/>
      <c r="L185" s="21"/>
      <c r="M185" s="110">
        <f>IF(L185="",I185,(MIN(J185,(L185*1.6*J185))))</f>
        <v>153</v>
      </c>
      <c r="N185" s="111">
        <f>IF(M185=0,0,(M185/J185))</f>
        <v>0.40799999999999997</v>
      </c>
    </row>
    <row r="186" spans="2:14">
      <c r="B186" s="72">
        <v>127700</v>
      </c>
      <c r="C186" s="47" t="s">
        <v>1722</v>
      </c>
      <c r="D186" s="123">
        <f>SUMIF(B$3:B$3844,B186,M$3:M$3844)/(SUMIF(B$3:B$3844,B186,J$3:J$3844))</f>
        <v>0.51089833179696098</v>
      </c>
      <c r="E186" s="47">
        <v>36239</v>
      </c>
      <c r="F186" s="48" t="s">
        <v>504</v>
      </c>
      <c r="G186" s="47"/>
      <c r="H186" s="47"/>
      <c r="I186" s="40">
        <v>264</v>
      </c>
      <c r="J186" s="40">
        <v>615</v>
      </c>
      <c r="K186" s="20"/>
      <c r="L186" s="21"/>
      <c r="M186" s="110">
        <f>IF(L186="",I186,(MIN(J186,(L186*1.6*J186))))</f>
        <v>264</v>
      </c>
      <c r="N186" s="111">
        <f>IF(M186=0,0,(M186/J186))</f>
        <v>0.42926829268292682</v>
      </c>
    </row>
    <row r="187" spans="2:14">
      <c r="B187" s="73">
        <v>127700</v>
      </c>
      <c r="C187" s="23" t="s">
        <v>1722</v>
      </c>
      <c r="D187" s="123">
        <f>SUMIF(B$3:B$3844,B187,M$3:M$3844)/(SUMIF(B$3:B$3844,B187,J$3:J$3844))</f>
        <v>0.51089833179696098</v>
      </c>
      <c r="E187" s="23">
        <v>35949</v>
      </c>
      <c r="F187" s="46" t="s">
        <v>1801</v>
      </c>
      <c r="G187" s="23"/>
      <c r="H187" s="23"/>
      <c r="I187" s="41">
        <v>636</v>
      </c>
      <c r="J187" s="41">
        <v>1392</v>
      </c>
      <c r="K187" s="20"/>
      <c r="L187" s="21"/>
      <c r="M187" s="110">
        <f>IF(L187="",I187,(MIN(J187,(L187*1.6*J187))))</f>
        <v>636</v>
      </c>
      <c r="N187" s="111">
        <f>IF(M187=0,0,(M187/J187))</f>
        <v>0.45689655172413796</v>
      </c>
    </row>
    <row r="188" spans="2:14">
      <c r="B188" s="72">
        <v>127700</v>
      </c>
      <c r="C188" s="47" t="s">
        <v>1722</v>
      </c>
      <c r="D188" s="123">
        <f>SUMIF(B$3:B$3844,B188,M$3:M$3844)/(SUMIF(B$3:B$3844,B188,J$3:J$3844))</f>
        <v>0.51089833179696098</v>
      </c>
      <c r="E188" s="47">
        <v>36241</v>
      </c>
      <c r="F188" s="48" t="s">
        <v>233</v>
      </c>
      <c r="G188" s="47"/>
      <c r="H188" s="47"/>
      <c r="I188" s="40">
        <v>358</v>
      </c>
      <c r="J188" s="40">
        <v>767</v>
      </c>
      <c r="K188" s="20"/>
      <c r="L188" s="21"/>
      <c r="M188" s="110">
        <f>IF(L188="",I188,(MIN(J188,(L188*1.6*J188))))</f>
        <v>358</v>
      </c>
      <c r="N188" s="111">
        <f>IF(M188=0,0,(M188/J188))</f>
        <v>0.46675358539765321</v>
      </c>
    </row>
    <row r="189" spans="2:14">
      <c r="B189" s="73">
        <v>127700</v>
      </c>
      <c r="C189" s="23" t="s">
        <v>1722</v>
      </c>
      <c r="D189" s="123">
        <f>SUMIF(B$3:B$3844,B189,M$3:M$3844)/(SUMIF(B$3:B$3844,B189,J$3:J$3844))</f>
        <v>0.51089833179696098</v>
      </c>
      <c r="E189" s="23">
        <v>36169</v>
      </c>
      <c r="F189" s="46" t="s">
        <v>1802</v>
      </c>
      <c r="G189" s="23"/>
      <c r="H189" s="23"/>
      <c r="I189" s="41">
        <v>535</v>
      </c>
      <c r="J189" s="41">
        <v>616</v>
      </c>
      <c r="K189" s="20"/>
      <c r="L189" s="21"/>
      <c r="M189" s="110">
        <f>IF(L189="",I189,(MIN(J189,(L189*1.6*J189))))</f>
        <v>535</v>
      </c>
      <c r="N189" s="111">
        <f>IF(M189=0,0,(M189/J189))</f>
        <v>0.86850649350649356</v>
      </c>
    </row>
    <row r="190" spans="2:14">
      <c r="B190" s="72">
        <v>127700</v>
      </c>
      <c r="C190" s="47" t="s">
        <v>1722</v>
      </c>
      <c r="D190" s="123">
        <f>SUMIF(B$3:B$3844,B190,M$3:M$3844)/(SUMIF(B$3:B$3844,B190,J$3:J$3844))</f>
        <v>0.51089833179696098</v>
      </c>
      <c r="E190" s="47">
        <v>16034565</v>
      </c>
      <c r="F190" s="48" t="s">
        <v>1803</v>
      </c>
      <c r="G190" s="47"/>
      <c r="H190" s="47"/>
      <c r="I190" s="40">
        <v>294</v>
      </c>
      <c r="J190" s="40">
        <v>2002</v>
      </c>
      <c r="K190" s="20"/>
      <c r="L190" s="21"/>
      <c r="M190" s="110">
        <f>IF(L190="",I190,(MIN(J190,(L190*1.6*J190))))</f>
        <v>294</v>
      </c>
      <c r="N190" s="111">
        <f>IF(M190=0,0,(M190/J190))</f>
        <v>0.14685314685314685</v>
      </c>
    </row>
    <row r="191" spans="2:14" ht="30">
      <c r="B191" s="73">
        <v>127700</v>
      </c>
      <c r="C191" s="23" t="s">
        <v>1722</v>
      </c>
      <c r="D191" s="123">
        <f>SUMIF(B$3:B$3844,B191,M$3:M$3844)/(SUMIF(B$3:B$3844,B191,J$3:J$3844))</f>
        <v>0.51089833179696098</v>
      </c>
      <c r="E191" s="23">
        <v>219354</v>
      </c>
      <c r="F191" s="46" t="s">
        <v>1804</v>
      </c>
      <c r="G191" s="23"/>
      <c r="H191" s="23"/>
      <c r="I191" s="41">
        <v>89</v>
      </c>
      <c r="J191" s="41">
        <v>550</v>
      </c>
      <c r="K191" s="20"/>
      <c r="L191" s="21"/>
      <c r="M191" s="110">
        <f>IF(L191="",I191,(MIN(J191,(L191*1.6*J191))))</f>
        <v>89</v>
      </c>
      <c r="N191" s="111">
        <f>IF(M191=0,0,(M191/J191))</f>
        <v>0.16181818181818181</v>
      </c>
    </row>
    <row r="192" spans="2:14">
      <c r="B192" s="72">
        <v>127700</v>
      </c>
      <c r="C192" s="47" t="s">
        <v>1722</v>
      </c>
      <c r="D192" s="123">
        <f>SUMIF(B$3:B$3844,B192,M$3:M$3844)/(SUMIF(B$3:B$3844,B192,J$3:J$3844))</f>
        <v>0.51089833179696098</v>
      </c>
      <c r="E192" s="47">
        <v>183451</v>
      </c>
      <c r="F192" s="48" t="s">
        <v>1805</v>
      </c>
      <c r="G192" s="47"/>
      <c r="H192" s="47"/>
      <c r="I192" s="40">
        <v>102</v>
      </c>
      <c r="J192" s="40">
        <v>957</v>
      </c>
      <c r="K192" s="20"/>
      <c r="L192" s="21"/>
      <c r="M192" s="110">
        <f>IF(L192="",I192,(MIN(J192,(L192*1.6*J192))))</f>
        <v>102</v>
      </c>
      <c r="N192" s="111">
        <f>IF(M192=0,0,(M192/J192))</f>
        <v>0.10658307210031348</v>
      </c>
    </row>
    <row r="193" spans="2:14">
      <c r="B193" s="73">
        <v>127700</v>
      </c>
      <c r="C193" s="23" t="s">
        <v>1722</v>
      </c>
      <c r="D193" s="123">
        <f>SUMIF(B$3:B$3844,B193,M$3:M$3844)/(SUMIF(B$3:B$3844,B193,J$3:J$3844))</f>
        <v>0.51089833179696098</v>
      </c>
      <c r="E193" s="23">
        <v>167578</v>
      </c>
      <c r="F193" s="46" t="s">
        <v>1586</v>
      </c>
      <c r="G193" s="23"/>
      <c r="H193" s="23"/>
      <c r="I193" s="41">
        <v>430</v>
      </c>
      <c r="J193" s="41">
        <v>700</v>
      </c>
      <c r="K193" s="20"/>
      <c r="L193" s="21"/>
      <c r="M193" s="110">
        <f>IF(L193="",I193,(MIN(J193,(L193*1.6*J193))))</f>
        <v>430</v>
      </c>
      <c r="N193" s="111">
        <f>IF(M193=0,0,(M193/J193))</f>
        <v>0.61428571428571432</v>
      </c>
    </row>
    <row r="194" spans="2:14">
      <c r="B194" s="73">
        <v>127743</v>
      </c>
      <c r="C194" s="23" t="s">
        <v>7</v>
      </c>
      <c r="D194" s="123">
        <f>SUMIF(B$3:B$3844,B194,M$3:M$3844)/(SUMIF(B$3:B$3844,B194,J$3:J$3844))</f>
        <v>0.63185358674778802</v>
      </c>
      <c r="E194" s="23">
        <v>36398</v>
      </c>
      <c r="F194" s="46" t="s">
        <v>8</v>
      </c>
      <c r="G194" s="117"/>
      <c r="H194" s="117"/>
      <c r="I194" s="41">
        <v>770</v>
      </c>
      <c r="J194" s="41">
        <v>838</v>
      </c>
      <c r="K194" s="118"/>
      <c r="L194" s="119"/>
      <c r="M194" s="110">
        <f>IF(L194="",I194,(MIN(J194,(L194*1.6*J194))))</f>
        <v>770</v>
      </c>
      <c r="N194" s="111">
        <f>IF(M194=0,0,(M194/J194))</f>
        <v>0.91885441527446299</v>
      </c>
    </row>
    <row r="195" spans="2:14">
      <c r="B195" s="72">
        <v>127743</v>
      </c>
      <c r="C195" s="47" t="s">
        <v>7</v>
      </c>
      <c r="D195" s="123">
        <f>SUMIF(B$3:B$3844,B195,M$3:M$3844)/(SUMIF(B$3:B$3844,B195,J$3:J$3844))</f>
        <v>0.63185358674778802</v>
      </c>
      <c r="E195" s="47">
        <v>36415</v>
      </c>
      <c r="F195" s="48" t="s">
        <v>9</v>
      </c>
      <c r="G195" s="117"/>
      <c r="H195" s="117"/>
      <c r="I195" s="40">
        <v>993</v>
      </c>
      <c r="J195" s="124">
        <v>1247</v>
      </c>
      <c r="K195" s="118"/>
      <c r="L195" s="119"/>
      <c r="M195" s="110">
        <f>IF(L195="",I195,(MIN(J195,(L195*1.6*J195))))</f>
        <v>993</v>
      </c>
      <c r="N195" s="111">
        <f>IF(M195=0,0,(M195/J195))</f>
        <v>0.79631114675220527</v>
      </c>
    </row>
    <row r="196" spans="2:14">
      <c r="B196" s="73">
        <v>127743</v>
      </c>
      <c r="C196" s="23" t="s">
        <v>7</v>
      </c>
      <c r="D196" s="123">
        <f>SUMIF(B$3:B$3844,B196,M$3:M$3844)/(SUMIF(B$3:B$3844,B196,J$3:J$3844))</f>
        <v>0.63185358674778802</v>
      </c>
      <c r="E196" s="23">
        <v>232466</v>
      </c>
      <c r="F196" s="46" t="s">
        <v>10</v>
      </c>
      <c r="G196" s="117"/>
      <c r="H196" s="117"/>
      <c r="I196" s="41">
        <v>369</v>
      </c>
      <c r="J196" s="41">
        <v>649</v>
      </c>
      <c r="K196" s="118"/>
      <c r="L196" s="119"/>
      <c r="M196" s="110">
        <f>IF(L196="",I196,(MIN(J196,(L196*1.6*J196))))</f>
        <v>369</v>
      </c>
      <c r="N196" s="111">
        <f>IF(M196=0,0,(M196/J196))</f>
        <v>0.56856702619414479</v>
      </c>
    </row>
    <row r="197" spans="2:14">
      <c r="B197" s="72">
        <v>127743</v>
      </c>
      <c r="C197" s="47" t="s">
        <v>7</v>
      </c>
      <c r="D197" s="123">
        <f>SUMIF(B$3:B$3844,B197,M$3:M$3844)/(SUMIF(B$3:B$3844,B197,J$3:J$3844))</f>
        <v>0.63185358674778802</v>
      </c>
      <c r="E197" s="47">
        <v>36548</v>
      </c>
      <c r="F197" s="48" t="s">
        <v>11</v>
      </c>
      <c r="G197" s="117"/>
      <c r="H197" s="117"/>
      <c r="I197" s="40">
        <v>577</v>
      </c>
      <c r="J197" s="40">
        <v>682</v>
      </c>
      <c r="K197" s="118"/>
      <c r="L197" s="119"/>
      <c r="M197" s="110">
        <f>IF(L197="",I197,(MIN(J197,(L197*1.6*J197))))</f>
        <v>577</v>
      </c>
      <c r="N197" s="111">
        <f>IF(M197=0,0,(M197/J197))</f>
        <v>0.8460410557184751</v>
      </c>
    </row>
    <row r="198" spans="2:14">
      <c r="B198" s="73">
        <v>127743</v>
      </c>
      <c r="C198" s="23" t="s">
        <v>7</v>
      </c>
      <c r="D198" s="123">
        <f>SUMIF(B$3:B$3844,B198,M$3:M$3844)/(SUMIF(B$3:B$3844,B198,J$3:J$3844))</f>
        <v>0.63185358674778802</v>
      </c>
      <c r="E198" s="23">
        <v>36356</v>
      </c>
      <c r="F198" s="46" t="s">
        <v>12</v>
      </c>
      <c r="G198" s="117"/>
      <c r="H198" s="117"/>
      <c r="I198" s="41">
        <v>565</v>
      </c>
      <c r="J198" s="41">
        <v>640</v>
      </c>
      <c r="K198" s="118"/>
      <c r="L198" s="119"/>
      <c r="M198" s="110">
        <f>IF(L198="",I198,(MIN(J198,(L198*1.6*J198))))</f>
        <v>565</v>
      </c>
      <c r="N198" s="111">
        <f>IF(M198=0,0,(M198/J198))</f>
        <v>0.8828125</v>
      </c>
    </row>
    <row r="199" spans="2:14">
      <c r="B199" s="72">
        <v>127743</v>
      </c>
      <c r="C199" s="47" t="s">
        <v>7</v>
      </c>
      <c r="D199" s="123">
        <f>SUMIF(B$3:B$3844,B199,M$3:M$3844)/(SUMIF(B$3:B$3844,B199,J$3:J$3844))</f>
        <v>0.63185358674778802</v>
      </c>
      <c r="E199" s="47">
        <v>37201</v>
      </c>
      <c r="F199" s="48" t="s">
        <v>13</v>
      </c>
      <c r="G199" s="117"/>
      <c r="H199" s="117"/>
      <c r="I199" s="40">
        <v>688</v>
      </c>
      <c r="J199" s="40">
        <v>883</v>
      </c>
      <c r="K199" s="118"/>
      <c r="L199" s="119"/>
      <c r="M199" s="110">
        <f>IF(L199="",I199,(MIN(J199,(L199*1.6*J199))))</f>
        <v>688</v>
      </c>
      <c r="N199" s="111">
        <f>IF(M199=0,0,(M199/J199))</f>
        <v>0.77916194790486981</v>
      </c>
    </row>
    <row r="200" spans="2:14">
      <c r="B200" s="73">
        <v>127743</v>
      </c>
      <c r="C200" s="23" t="s">
        <v>7</v>
      </c>
      <c r="D200" s="123">
        <f>SUMIF(B$3:B$3844,B200,M$3:M$3844)/(SUMIF(B$3:B$3844,B200,J$3:J$3844))</f>
        <v>0.63185358674778802</v>
      </c>
      <c r="E200" s="23">
        <v>37251</v>
      </c>
      <c r="F200" s="46" t="s">
        <v>14</v>
      </c>
      <c r="G200" s="117"/>
      <c r="H200" s="117"/>
      <c r="I200" s="41">
        <v>558</v>
      </c>
      <c r="J200" s="41">
        <v>686</v>
      </c>
      <c r="K200" s="118"/>
      <c r="L200" s="119"/>
      <c r="M200" s="110">
        <f>IF(L200="",I200,(MIN(J200,(L200*1.6*J200))))</f>
        <v>558</v>
      </c>
      <c r="N200" s="111">
        <f>IF(M200=0,0,(M200/J200))</f>
        <v>0.8134110787172012</v>
      </c>
    </row>
    <row r="201" spans="2:14">
      <c r="B201" s="72">
        <v>127743</v>
      </c>
      <c r="C201" s="47" t="s">
        <v>7</v>
      </c>
      <c r="D201" s="123">
        <f>SUMIF(B$3:B$3844,B201,M$3:M$3844)/(SUMIF(B$3:B$3844,B201,J$3:J$3844))</f>
        <v>0.63185358674778802</v>
      </c>
      <c r="E201" s="47">
        <v>37083</v>
      </c>
      <c r="F201" s="48" t="s">
        <v>15</v>
      </c>
      <c r="G201" s="117"/>
      <c r="H201" s="117"/>
      <c r="I201" s="40">
        <v>140</v>
      </c>
      <c r="J201" s="40">
        <v>635</v>
      </c>
      <c r="K201" s="118"/>
      <c r="L201" s="119"/>
      <c r="M201" s="110">
        <f>IF(L201="",I201,(MIN(J201,(L201*1.6*J201))))</f>
        <v>140</v>
      </c>
      <c r="N201" s="111">
        <f>IF(M201=0,0,(M201/J201))</f>
        <v>0.22047244094488189</v>
      </c>
    </row>
    <row r="202" spans="2:14">
      <c r="B202" s="73">
        <v>127743</v>
      </c>
      <c r="C202" s="23" t="s">
        <v>7</v>
      </c>
      <c r="D202" s="123">
        <f>SUMIF(B$3:B$3844,B202,M$3:M$3844)/(SUMIF(B$3:B$3844,B202,J$3:J$3844))</f>
        <v>0.63185358674778802</v>
      </c>
      <c r="E202" s="23">
        <v>16052333</v>
      </c>
      <c r="F202" s="46" t="s">
        <v>16</v>
      </c>
      <c r="G202" s="117"/>
      <c r="H202" s="117"/>
      <c r="I202" s="41">
        <v>197</v>
      </c>
      <c r="J202" s="41">
        <v>767</v>
      </c>
      <c r="K202" s="118"/>
      <c r="L202" s="119"/>
      <c r="M202" s="110">
        <f>IF(L202="",I202,(MIN(J202,(L202*1.6*J202))))</f>
        <v>197</v>
      </c>
      <c r="N202" s="111">
        <f>IF(M202=0,0,(M202/J202))</f>
        <v>0.25684485006518903</v>
      </c>
    </row>
    <row r="203" spans="2:14">
      <c r="B203" s="72">
        <v>127743</v>
      </c>
      <c r="C203" s="47" t="s">
        <v>7</v>
      </c>
      <c r="D203" s="123">
        <f>SUMIF(B$3:B$3844,B203,M$3:M$3844)/(SUMIF(B$3:B$3844,B203,J$3:J$3844))</f>
        <v>0.63185358674778802</v>
      </c>
      <c r="E203" s="47">
        <v>224986</v>
      </c>
      <c r="F203" s="48" t="s">
        <v>17</v>
      </c>
      <c r="G203" s="117"/>
      <c r="H203" s="117"/>
      <c r="I203" s="40"/>
      <c r="J203" s="40" t="s">
        <v>264</v>
      </c>
      <c r="K203" s="118"/>
      <c r="L203" s="119"/>
      <c r="M203" s="110">
        <f>IF(L203="",I203,(MIN(J203,(L203*1.6*J203))))</f>
        <v>0</v>
      </c>
      <c r="N203" s="111">
        <f>IF(M203=0,0,(M203/J203))</f>
        <v>0</v>
      </c>
    </row>
    <row r="204" spans="2:14">
      <c r="B204" s="73">
        <v>127743</v>
      </c>
      <c r="C204" s="23" t="s">
        <v>7</v>
      </c>
      <c r="D204" s="123">
        <f>SUMIF(B$3:B$3844,B204,M$3:M$3844)/(SUMIF(B$3:B$3844,B204,J$3:J$3844))</f>
        <v>0.63185358674778802</v>
      </c>
      <c r="E204" s="23">
        <v>37085</v>
      </c>
      <c r="F204" s="46" t="s">
        <v>18</v>
      </c>
      <c r="G204" s="117"/>
      <c r="H204" s="117"/>
      <c r="I204" s="41">
        <v>419</v>
      </c>
      <c r="J204" s="41">
        <v>485</v>
      </c>
      <c r="K204" s="118"/>
      <c r="L204" s="119"/>
      <c r="M204" s="110">
        <f>IF(L204="",I204,(MIN(J204,(L204*1.6*J204))))</f>
        <v>419</v>
      </c>
      <c r="N204" s="111">
        <f>IF(M204=0,0,(M204/J204))</f>
        <v>0.86391752577319592</v>
      </c>
    </row>
    <row r="205" spans="2:14">
      <c r="B205" s="72">
        <v>127743</v>
      </c>
      <c r="C205" s="47" t="s">
        <v>7</v>
      </c>
      <c r="D205" s="123">
        <f>SUMIF(B$3:B$3844,B205,M$3:M$3844)/(SUMIF(B$3:B$3844,B205,J$3:J$3844))</f>
        <v>0.63185358674778802</v>
      </c>
      <c r="E205" s="47">
        <v>36357</v>
      </c>
      <c r="F205" s="48" t="s">
        <v>19</v>
      </c>
      <c r="G205" s="117"/>
      <c r="H205" s="117"/>
      <c r="I205" s="40">
        <v>678</v>
      </c>
      <c r="J205" s="40">
        <v>699</v>
      </c>
      <c r="K205" s="118"/>
      <c r="L205" s="119"/>
      <c r="M205" s="110">
        <f>IF(L205="",I205,(MIN(J205,(L205*1.6*J205))))</f>
        <v>678</v>
      </c>
      <c r="N205" s="111">
        <f>IF(M205=0,0,(M205/J205))</f>
        <v>0.96995708154506433</v>
      </c>
    </row>
    <row r="206" spans="2:14">
      <c r="B206" s="73">
        <v>127743</v>
      </c>
      <c r="C206" s="23" t="s">
        <v>7</v>
      </c>
      <c r="D206" s="123">
        <f>SUMIF(B$3:B$3844,B206,M$3:M$3844)/(SUMIF(B$3:B$3844,B206,J$3:J$3844))</f>
        <v>0.63185358674778802</v>
      </c>
      <c r="E206" s="23">
        <v>36523</v>
      </c>
      <c r="F206" s="46" t="s">
        <v>20</v>
      </c>
      <c r="G206" s="117"/>
      <c r="H206" s="117"/>
      <c r="I206" s="45">
        <v>1814</v>
      </c>
      <c r="J206" s="45">
        <v>2087</v>
      </c>
      <c r="K206" s="118"/>
      <c r="L206" s="119"/>
      <c r="M206" s="110">
        <f>IF(L206="",I206,(MIN(J206,(L206*1.6*J206))))</f>
        <v>1814</v>
      </c>
      <c r="N206" s="111">
        <f>IF(M206=0,0,(M206/J206))</f>
        <v>0.86919022520364164</v>
      </c>
    </row>
    <row r="207" spans="2:14">
      <c r="B207" s="72">
        <v>127743</v>
      </c>
      <c r="C207" s="47" t="s">
        <v>7</v>
      </c>
      <c r="D207" s="123">
        <f>SUMIF(B$3:B$3844,B207,M$3:M$3844)/(SUMIF(B$3:B$3844,B207,J$3:J$3844))</f>
        <v>0.63185358674778802</v>
      </c>
      <c r="E207" s="47">
        <v>36417</v>
      </c>
      <c r="F207" s="48" t="s">
        <v>21</v>
      </c>
      <c r="G207" s="117"/>
      <c r="H207" s="117"/>
      <c r="I207" s="40">
        <v>596</v>
      </c>
      <c r="J207" s="40">
        <v>724</v>
      </c>
      <c r="K207" s="118"/>
      <c r="L207" s="119"/>
      <c r="M207" s="110">
        <f>IF(L207="",I207,(MIN(J207,(L207*1.6*J207))))</f>
        <v>596</v>
      </c>
      <c r="N207" s="111">
        <f>IF(M207=0,0,(M207/J207))</f>
        <v>0.82320441988950277</v>
      </c>
    </row>
    <row r="208" spans="2:14">
      <c r="B208" s="73">
        <v>127743</v>
      </c>
      <c r="C208" s="23" t="s">
        <v>7</v>
      </c>
      <c r="D208" s="123">
        <f>SUMIF(B$3:B$3844,B208,M$3:M$3844)/(SUMIF(B$3:B$3844,B208,J$3:J$3844))</f>
        <v>0.63185358674778802</v>
      </c>
      <c r="E208" s="23">
        <v>37104</v>
      </c>
      <c r="F208" s="46" t="s">
        <v>22</v>
      </c>
      <c r="G208" s="117"/>
      <c r="H208" s="117"/>
      <c r="I208" s="45">
        <v>1571</v>
      </c>
      <c r="J208" s="45">
        <v>1810</v>
      </c>
      <c r="K208" s="118"/>
      <c r="L208" s="119"/>
      <c r="M208" s="110">
        <f>IF(L208="",I208,(MIN(J208,(L208*1.6*J208))))</f>
        <v>1571</v>
      </c>
      <c r="N208" s="111">
        <f>IF(M208=0,0,(M208/J208))</f>
        <v>0.86795580110497239</v>
      </c>
    </row>
    <row r="209" spans="2:14">
      <c r="B209" s="72">
        <v>127743</v>
      </c>
      <c r="C209" s="47" t="s">
        <v>7</v>
      </c>
      <c r="D209" s="123">
        <f>SUMIF(B$3:B$3844,B209,M$3:M$3844)/(SUMIF(B$3:B$3844,B209,J$3:J$3844))</f>
        <v>0.63185358674778802</v>
      </c>
      <c r="E209" s="47">
        <v>36552</v>
      </c>
      <c r="F209" s="48" t="s">
        <v>23</v>
      </c>
      <c r="G209" s="117"/>
      <c r="H209" s="117"/>
      <c r="I209" s="40">
        <v>90</v>
      </c>
      <c r="J209" s="40">
        <v>140</v>
      </c>
      <c r="K209" s="118"/>
      <c r="L209" s="119"/>
      <c r="M209" s="110">
        <f>IF(L209="",I209,(MIN(J209,(L209*1.6*J209))))</f>
        <v>90</v>
      </c>
      <c r="N209" s="111">
        <f>IF(M209=0,0,(M209/J209))</f>
        <v>0.6428571428571429</v>
      </c>
    </row>
    <row r="210" spans="2:14">
      <c r="B210" s="73">
        <v>127743</v>
      </c>
      <c r="C210" s="23" t="s">
        <v>7</v>
      </c>
      <c r="D210" s="123">
        <f>SUMIF(B$3:B$3844,B210,M$3:M$3844)/(SUMIF(B$3:B$3844,B210,J$3:J$3844))</f>
        <v>0.63185358674778802</v>
      </c>
      <c r="E210" s="23">
        <v>36590</v>
      </c>
      <c r="F210" s="46" t="s">
        <v>24</v>
      </c>
      <c r="G210" s="117"/>
      <c r="H210" s="117"/>
      <c r="I210" s="41">
        <v>858</v>
      </c>
      <c r="J210" s="41">
        <v>942</v>
      </c>
      <c r="K210" s="118"/>
      <c r="L210" s="119"/>
      <c r="M210" s="110">
        <f>IF(L210="",I210,(MIN(J210,(L210*1.6*J210))))</f>
        <v>858</v>
      </c>
      <c r="N210" s="111">
        <f>IF(M210=0,0,(M210/J210))</f>
        <v>0.91082802547770703</v>
      </c>
    </row>
    <row r="211" spans="2:14">
      <c r="B211" s="72">
        <v>127743</v>
      </c>
      <c r="C211" s="47" t="s">
        <v>7</v>
      </c>
      <c r="D211" s="123">
        <f>SUMIF(B$3:B$3844,B211,M$3:M$3844)/(SUMIF(B$3:B$3844,B211,J$3:J$3844))</f>
        <v>0.63185358674778802</v>
      </c>
      <c r="E211" s="47">
        <v>37131</v>
      </c>
      <c r="F211" s="48" t="s">
        <v>25</v>
      </c>
      <c r="G211" s="117"/>
      <c r="H211" s="117"/>
      <c r="I211" s="40">
        <v>408</v>
      </c>
      <c r="J211" s="40">
        <v>423</v>
      </c>
      <c r="K211" s="118"/>
      <c r="L211" s="119"/>
      <c r="M211" s="110">
        <f>IF(L211="",I211,(MIN(J211,(L211*1.6*J211))))</f>
        <v>408</v>
      </c>
      <c r="N211" s="111">
        <f>IF(M211=0,0,(M211/J211))</f>
        <v>0.96453900709219853</v>
      </c>
    </row>
    <row r="212" spans="2:14">
      <c r="B212" s="73">
        <v>127743</v>
      </c>
      <c r="C212" s="23" t="s">
        <v>7</v>
      </c>
      <c r="D212" s="123">
        <f>SUMIF(B$3:B$3844,B212,M$3:M$3844)/(SUMIF(B$3:B$3844,B212,J$3:J$3844))</f>
        <v>0.63185358674778802</v>
      </c>
      <c r="E212" s="23">
        <v>36595</v>
      </c>
      <c r="F212" s="46" t="s">
        <v>26</v>
      </c>
      <c r="G212" s="117"/>
      <c r="H212" s="117"/>
      <c r="I212" s="41">
        <v>564</v>
      </c>
      <c r="J212" s="41">
        <v>576</v>
      </c>
      <c r="K212" s="118"/>
      <c r="L212" s="119"/>
      <c r="M212" s="110">
        <f>IF(L212="",I212,(MIN(J212,(L212*1.6*J212))))</f>
        <v>564</v>
      </c>
      <c r="N212" s="111">
        <f>IF(M212=0,0,(M212/J212))</f>
        <v>0.97916666666666663</v>
      </c>
    </row>
    <row r="213" spans="2:14">
      <c r="B213" s="72">
        <v>127743</v>
      </c>
      <c r="C213" s="47" t="s">
        <v>7</v>
      </c>
      <c r="D213" s="123">
        <f>SUMIF(B$3:B$3844,B213,M$3:M$3844)/(SUMIF(B$3:B$3844,B213,J$3:J$3844))</f>
        <v>0.63185358674778802</v>
      </c>
      <c r="E213" s="47">
        <v>37148</v>
      </c>
      <c r="F213" s="48" t="s">
        <v>27</v>
      </c>
      <c r="G213" s="117"/>
      <c r="H213" s="117"/>
      <c r="I213" s="40">
        <v>566</v>
      </c>
      <c r="J213" s="40">
        <v>580</v>
      </c>
      <c r="K213" s="118"/>
      <c r="L213" s="119"/>
      <c r="M213" s="110">
        <f>IF(L213="",I213,(MIN(J213,(L213*1.6*J213))))</f>
        <v>566</v>
      </c>
      <c r="N213" s="111">
        <f>IF(M213=0,0,(M213/J213))</f>
        <v>0.97586206896551719</v>
      </c>
    </row>
    <row r="214" spans="2:14">
      <c r="B214" s="73">
        <v>127743</v>
      </c>
      <c r="C214" s="23" t="s">
        <v>7</v>
      </c>
      <c r="D214" s="123">
        <f>SUMIF(B$3:B$3844,B214,M$3:M$3844)/(SUMIF(B$3:B$3844,B214,J$3:J$3844))</f>
        <v>0.63185358674778802</v>
      </c>
      <c r="E214" s="23">
        <v>37204</v>
      </c>
      <c r="F214" s="46" t="s">
        <v>28</v>
      </c>
      <c r="G214" s="117"/>
      <c r="H214" s="117"/>
      <c r="I214" s="41">
        <v>326</v>
      </c>
      <c r="J214" s="41">
        <v>975</v>
      </c>
      <c r="K214" s="118"/>
      <c r="L214" s="119"/>
      <c r="M214" s="110">
        <f>IF(L214="",I214,(MIN(J214,(L214*1.6*J214))))</f>
        <v>326</v>
      </c>
      <c r="N214" s="111">
        <f>IF(M214=0,0,(M214/J214))</f>
        <v>0.33435897435897438</v>
      </c>
    </row>
    <row r="215" spans="2:14">
      <c r="B215" s="72">
        <v>127743</v>
      </c>
      <c r="C215" s="47" t="s">
        <v>7</v>
      </c>
      <c r="D215" s="123">
        <f>SUMIF(B$3:B$3844,B215,M$3:M$3844)/(SUMIF(B$3:B$3844,B215,J$3:J$3844))</f>
        <v>0.63185358674778802</v>
      </c>
      <c r="E215" s="47">
        <v>16022179</v>
      </c>
      <c r="F215" s="48" t="s">
        <v>29</v>
      </c>
      <c r="G215" s="117"/>
      <c r="H215" s="117"/>
      <c r="I215" s="40"/>
      <c r="J215" s="40" t="s">
        <v>264</v>
      </c>
      <c r="K215" s="118"/>
      <c r="L215" s="119"/>
      <c r="M215" s="110">
        <f>IF(L215="",I215,(MIN(J215,(L215*1.6*J215))))</f>
        <v>0</v>
      </c>
      <c r="N215" s="111">
        <f>IF(M215=0,0,(M215/J215))</f>
        <v>0</v>
      </c>
    </row>
    <row r="216" spans="2:14">
      <c r="B216" s="73">
        <v>127743</v>
      </c>
      <c r="C216" s="23" t="s">
        <v>7</v>
      </c>
      <c r="D216" s="123">
        <f>SUMIF(B$3:B$3844,B216,M$3:M$3844)/(SUMIF(B$3:B$3844,B216,J$3:J$3844))</f>
        <v>0.63185358674778802</v>
      </c>
      <c r="E216" s="23">
        <v>209470</v>
      </c>
      <c r="F216" s="46" t="s">
        <v>30</v>
      </c>
      <c r="G216" s="117"/>
      <c r="H216" s="117"/>
      <c r="I216" s="41">
        <v>690</v>
      </c>
      <c r="J216" s="41">
        <v>985</v>
      </c>
      <c r="K216" s="118"/>
      <c r="L216" s="119"/>
      <c r="M216" s="110">
        <f>IF(L216="",I216,(MIN(J216,(L216*1.6*J216))))</f>
        <v>690</v>
      </c>
      <c r="N216" s="111">
        <f>IF(M216=0,0,(M216/J216))</f>
        <v>0.70050761421319796</v>
      </c>
    </row>
    <row r="217" spans="2:14">
      <c r="B217" s="72">
        <v>127743</v>
      </c>
      <c r="C217" s="47" t="s">
        <v>7</v>
      </c>
      <c r="D217" s="123">
        <f>SUMIF(B$3:B$3844,B217,M$3:M$3844)/(SUMIF(B$3:B$3844,B217,J$3:J$3844))</f>
        <v>0.63185358674778802</v>
      </c>
      <c r="E217" s="47">
        <v>36436</v>
      </c>
      <c r="F217" s="48" t="s">
        <v>31</v>
      </c>
      <c r="G217" s="117"/>
      <c r="H217" s="117"/>
      <c r="I217" s="40">
        <v>317</v>
      </c>
      <c r="J217" s="40">
        <v>775</v>
      </c>
      <c r="K217" s="118"/>
      <c r="L217" s="119"/>
      <c r="M217" s="110">
        <f>IF(L217="",I217,(MIN(J217,(L217*1.6*J217))))</f>
        <v>317</v>
      </c>
      <c r="N217" s="111">
        <f>IF(M217=0,0,(M217/J217))</f>
        <v>0.40903225806451615</v>
      </c>
    </row>
    <row r="218" spans="2:14">
      <c r="B218" s="73">
        <v>127743</v>
      </c>
      <c r="C218" s="23" t="s">
        <v>7</v>
      </c>
      <c r="D218" s="123">
        <f>SUMIF(B$3:B$3844,B218,M$3:M$3844)/(SUMIF(B$3:B$3844,B218,J$3:J$3844))</f>
        <v>0.63185358674778802</v>
      </c>
      <c r="E218" s="23">
        <v>36593</v>
      </c>
      <c r="F218" s="46" t="s">
        <v>32</v>
      </c>
      <c r="G218" s="117"/>
      <c r="H218" s="117"/>
      <c r="I218" s="41">
        <v>594</v>
      </c>
      <c r="J218" s="41">
        <v>610</v>
      </c>
      <c r="K218" s="118"/>
      <c r="L218" s="119"/>
      <c r="M218" s="110">
        <f>IF(L218="",I218,(MIN(J218,(L218*1.6*J218))))</f>
        <v>594</v>
      </c>
      <c r="N218" s="111">
        <f>IF(M218=0,0,(M218/J218))</f>
        <v>0.97377049180327868</v>
      </c>
    </row>
    <row r="219" spans="2:14">
      <c r="B219" s="72">
        <v>127743</v>
      </c>
      <c r="C219" s="47" t="s">
        <v>7</v>
      </c>
      <c r="D219" s="123">
        <f>SUMIF(B$3:B$3844,B219,M$3:M$3844)/(SUMIF(B$3:B$3844,B219,J$3:J$3844))</f>
        <v>0.63185358674778802</v>
      </c>
      <c r="E219" s="47">
        <v>36435</v>
      </c>
      <c r="F219" s="48" t="s">
        <v>33</v>
      </c>
      <c r="G219" s="117"/>
      <c r="H219" s="117"/>
      <c r="I219" s="124">
        <v>1518</v>
      </c>
      <c r="J219" s="124">
        <v>2816</v>
      </c>
      <c r="K219" s="118"/>
      <c r="L219" s="119"/>
      <c r="M219" s="110">
        <f>IF(L219="",I219,(MIN(J219,(L219*1.6*J219))))</f>
        <v>1518</v>
      </c>
      <c r="N219" s="111">
        <f>IF(M219=0,0,(M219/J219))</f>
        <v>0.5390625</v>
      </c>
    </row>
    <row r="220" spans="2:14">
      <c r="B220" s="73">
        <v>127743</v>
      </c>
      <c r="C220" s="23" t="s">
        <v>7</v>
      </c>
      <c r="D220" s="123">
        <f>SUMIF(B$3:B$3844,B220,M$3:M$3844)/(SUMIF(B$3:B$3844,B220,J$3:J$3844))</f>
        <v>0.63185358674778802</v>
      </c>
      <c r="E220" s="23">
        <v>36579</v>
      </c>
      <c r="F220" s="46" t="s">
        <v>34</v>
      </c>
      <c r="G220" s="117"/>
      <c r="H220" s="117"/>
      <c r="I220" s="41">
        <v>467</v>
      </c>
      <c r="J220" s="41">
        <v>696</v>
      </c>
      <c r="K220" s="118"/>
      <c r="L220" s="119"/>
      <c r="M220" s="110">
        <f>IF(L220="",I220,(MIN(J220,(L220*1.6*J220))))</f>
        <v>467</v>
      </c>
      <c r="N220" s="111">
        <f>IF(M220=0,0,(M220/J220))</f>
        <v>0.67097701149425293</v>
      </c>
    </row>
    <row r="221" spans="2:14">
      <c r="B221" s="72">
        <v>127743</v>
      </c>
      <c r="C221" s="47" t="s">
        <v>7</v>
      </c>
      <c r="D221" s="123">
        <f>SUMIF(B$3:B$3844,B221,M$3:M$3844)/(SUMIF(B$3:B$3844,B221,J$3:J$3844))</f>
        <v>0.63185358674778802</v>
      </c>
      <c r="E221" s="47">
        <v>36577</v>
      </c>
      <c r="F221" s="48" t="s">
        <v>35</v>
      </c>
      <c r="G221" s="117"/>
      <c r="H221" s="117"/>
      <c r="I221" s="124">
        <v>1059</v>
      </c>
      <c r="J221" s="124">
        <v>1382</v>
      </c>
      <c r="K221" s="118"/>
      <c r="L221" s="119"/>
      <c r="M221" s="110">
        <f>IF(L221="",I221,(MIN(J221,(L221*1.6*J221))))</f>
        <v>1059</v>
      </c>
      <c r="N221" s="111">
        <f>IF(M221=0,0,(M221/J221))</f>
        <v>0.76628075253256156</v>
      </c>
    </row>
    <row r="222" spans="2:14">
      <c r="B222" s="73">
        <v>127743</v>
      </c>
      <c r="C222" s="23" t="s">
        <v>7</v>
      </c>
      <c r="D222" s="123">
        <f>SUMIF(B$3:B$3844,B222,M$3:M$3844)/(SUMIF(B$3:B$3844,B222,J$3:J$3844))</f>
        <v>0.63185358674778802</v>
      </c>
      <c r="E222" s="23">
        <v>209469</v>
      </c>
      <c r="F222" s="46" t="s">
        <v>36</v>
      </c>
      <c r="G222" s="117"/>
      <c r="H222" s="117"/>
      <c r="I222" s="41">
        <v>543</v>
      </c>
      <c r="J222" s="41">
        <v>879</v>
      </c>
      <c r="K222" s="118"/>
      <c r="L222" s="119"/>
      <c r="M222" s="110">
        <f>IF(L222="",I222,(MIN(J222,(L222*1.6*J222))))</f>
        <v>543</v>
      </c>
      <c r="N222" s="111">
        <f>IF(M222=0,0,(M222/J222))</f>
        <v>0.61774744027303752</v>
      </c>
    </row>
    <row r="223" spans="2:14">
      <c r="B223" s="72">
        <v>127743</v>
      </c>
      <c r="C223" s="47" t="s">
        <v>7</v>
      </c>
      <c r="D223" s="123">
        <f>SUMIF(B$3:B$3844,B223,M$3:M$3844)/(SUMIF(B$3:B$3844,B223,J$3:J$3844))</f>
        <v>0.63185358674778802</v>
      </c>
      <c r="E223" s="47">
        <v>36371</v>
      </c>
      <c r="F223" s="48" t="s">
        <v>37</v>
      </c>
      <c r="G223" s="117"/>
      <c r="H223" s="117"/>
      <c r="I223" s="40">
        <v>623</v>
      </c>
      <c r="J223" s="40">
        <v>663</v>
      </c>
      <c r="K223" s="118"/>
      <c r="L223" s="119"/>
      <c r="M223" s="110">
        <f>IF(L223="",I223,(MIN(J223,(L223*1.6*J223))))</f>
        <v>623</v>
      </c>
      <c r="N223" s="111">
        <f>IF(M223=0,0,(M223/J223))</f>
        <v>0.9396681749622926</v>
      </c>
    </row>
    <row r="224" spans="2:14">
      <c r="B224" s="73">
        <v>127743</v>
      </c>
      <c r="C224" s="23" t="s">
        <v>7</v>
      </c>
      <c r="D224" s="123">
        <f>SUMIF(B$3:B$3844,B224,M$3:M$3844)/(SUMIF(B$3:B$3844,B224,J$3:J$3844))</f>
        <v>0.63185358674778802</v>
      </c>
      <c r="E224" s="23">
        <v>36285</v>
      </c>
      <c r="F224" s="46" t="s">
        <v>38</v>
      </c>
      <c r="G224" s="117"/>
      <c r="H224" s="117"/>
      <c r="I224" s="41">
        <v>295</v>
      </c>
      <c r="J224" s="41">
        <v>312</v>
      </c>
      <c r="K224" s="118"/>
      <c r="L224" s="119"/>
      <c r="M224" s="110">
        <f>IF(L224="",I224,(MIN(J224,(L224*1.6*J224))))</f>
        <v>295</v>
      </c>
      <c r="N224" s="111">
        <f>IF(M224=0,0,(M224/J224))</f>
        <v>0.94551282051282048</v>
      </c>
    </row>
    <row r="225" spans="2:14" ht="30">
      <c r="B225" s="72">
        <v>127743</v>
      </c>
      <c r="C225" s="47" t="s">
        <v>7</v>
      </c>
      <c r="D225" s="123">
        <f>SUMIF(B$3:B$3844,B225,M$3:M$3844)/(SUMIF(B$3:B$3844,B225,J$3:J$3844))</f>
        <v>0.63185358674778802</v>
      </c>
      <c r="E225" s="47">
        <v>225093</v>
      </c>
      <c r="F225" s="48" t="s">
        <v>39</v>
      </c>
      <c r="G225" s="117"/>
      <c r="H225" s="117"/>
      <c r="I225" s="40"/>
      <c r="J225" s="40" t="s">
        <v>264</v>
      </c>
      <c r="K225" s="118"/>
      <c r="L225" s="119"/>
      <c r="M225" s="110">
        <f>IF(L225="",I225,(MIN(J225,(L225*1.6*J225))))</f>
        <v>0</v>
      </c>
      <c r="N225" s="111">
        <f>IF(M225=0,0,(M225/J225))</f>
        <v>0</v>
      </c>
    </row>
    <row r="226" spans="2:14">
      <c r="B226" s="73">
        <v>127743</v>
      </c>
      <c r="C226" s="23" t="s">
        <v>7</v>
      </c>
      <c r="D226" s="123">
        <f>SUMIF(B$3:B$3844,B226,M$3:M$3844)/(SUMIF(B$3:B$3844,B226,J$3:J$3844))</f>
        <v>0.63185358674778802</v>
      </c>
      <c r="E226" s="23">
        <v>207929</v>
      </c>
      <c r="F226" s="46" t="s">
        <v>40</v>
      </c>
      <c r="G226" s="117"/>
      <c r="H226" s="117"/>
      <c r="I226" s="41"/>
      <c r="J226" s="41" t="s">
        <v>264</v>
      </c>
      <c r="K226" s="118"/>
      <c r="L226" s="119"/>
      <c r="M226" s="110">
        <f>IF(L226="",I226,(MIN(J226,(L226*1.6*J226))))</f>
        <v>0</v>
      </c>
      <c r="N226" s="111">
        <f>IF(M226=0,0,(M226/J226))</f>
        <v>0</v>
      </c>
    </row>
    <row r="227" spans="2:14">
      <c r="B227" s="72">
        <v>127743</v>
      </c>
      <c r="C227" s="47" t="s">
        <v>7</v>
      </c>
      <c r="D227" s="123">
        <f>SUMIF(B$3:B$3844,B227,M$3:M$3844)/(SUMIF(B$3:B$3844,B227,J$3:J$3844))</f>
        <v>0.63185358674778802</v>
      </c>
      <c r="E227" s="47">
        <v>37227</v>
      </c>
      <c r="F227" s="48" t="s">
        <v>41</v>
      </c>
      <c r="G227" s="117"/>
      <c r="H227" s="117"/>
      <c r="I227" s="40">
        <v>326</v>
      </c>
      <c r="J227" s="40">
        <v>740</v>
      </c>
      <c r="K227" s="118"/>
      <c r="L227" s="119"/>
      <c r="M227" s="110">
        <f>IF(L227="",I227,(MIN(J227,(L227*1.6*J227))))</f>
        <v>326</v>
      </c>
      <c r="N227" s="111">
        <f>IF(M227=0,0,(M227/J227))</f>
        <v>0.44054054054054054</v>
      </c>
    </row>
    <row r="228" spans="2:14">
      <c r="B228" s="73">
        <v>127743</v>
      </c>
      <c r="C228" s="23" t="s">
        <v>7</v>
      </c>
      <c r="D228" s="123">
        <f>SUMIF(B$3:B$3844,B228,M$3:M$3844)/(SUMIF(B$3:B$3844,B228,J$3:J$3844))</f>
        <v>0.63185358674778802</v>
      </c>
      <c r="E228" s="23">
        <v>37234</v>
      </c>
      <c r="F228" s="46" t="s">
        <v>42</v>
      </c>
      <c r="G228" s="117"/>
      <c r="H228" s="117"/>
      <c r="I228" s="41">
        <v>674</v>
      </c>
      <c r="J228" s="45">
        <v>2291</v>
      </c>
      <c r="K228" s="118"/>
      <c r="L228" s="119"/>
      <c r="M228" s="110">
        <f>IF(L228="",I228,(MIN(J228,(L228*1.6*J228))))</f>
        <v>674</v>
      </c>
      <c r="N228" s="111">
        <f>IF(M228=0,0,(M228/J228))</f>
        <v>0.29419467481449146</v>
      </c>
    </row>
    <row r="229" spans="2:14">
      <c r="B229" s="72">
        <v>127743</v>
      </c>
      <c r="C229" s="47" t="s">
        <v>7</v>
      </c>
      <c r="D229" s="123">
        <f>SUMIF(B$3:B$3844,B229,M$3:M$3844)/(SUMIF(B$3:B$3844,B229,J$3:J$3844))</f>
        <v>0.63185358674778802</v>
      </c>
      <c r="E229" s="47">
        <v>16026376</v>
      </c>
      <c r="F229" s="48" t="s">
        <v>43</v>
      </c>
      <c r="G229" s="117"/>
      <c r="H229" s="117"/>
      <c r="I229" s="40">
        <v>474</v>
      </c>
      <c r="J229" s="40">
        <v>949</v>
      </c>
      <c r="K229" s="118"/>
      <c r="L229" s="119"/>
      <c r="M229" s="110">
        <f>IF(L229="",I229,(MIN(J229,(L229*1.6*J229))))</f>
        <v>474</v>
      </c>
      <c r="N229" s="111">
        <f>IF(M229=0,0,(M229/J229))</f>
        <v>0.49947312961011592</v>
      </c>
    </row>
    <row r="230" spans="2:14">
      <c r="B230" s="73">
        <v>127743</v>
      </c>
      <c r="C230" s="23" t="s">
        <v>7</v>
      </c>
      <c r="D230" s="123">
        <f>SUMIF(B$3:B$3844,B230,M$3:M$3844)/(SUMIF(B$3:B$3844,B230,J$3:J$3844))</f>
        <v>0.63185358674778802</v>
      </c>
      <c r="E230" s="23">
        <v>233116</v>
      </c>
      <c r="F230" s="46" t="s">
        <v>44</v>
      </c>
      <c r="G230" s="117"/>
      <c r="H230" s="117"/>
      <c r="I230" s="45">
        <v>1380</v>
      </c>
      <c r="J230" s="45">
        <v>2494</v>
      </c>
      <c r="K230" s="118"/>
      <c r="L230" s="119"/>
      <c r="M230" s="110">
        <f>IF(L230="",I230,(MIN(J230,(L230*1.6*J230))))</f>
        <v>1380</v>
      </c>
      <c r="N230" s="111">
        <f>IF(M230=0,0,(M230/J230))</f>
        <v>0.55332798716920606</v>
      </c>
    </row>
    <row r="231" spans="2:14">
      <c r="B231" s="72">
        <v>127743</v>
      </c>
      <c r="C231" s="47" t="s">
        <v>7</v>
      </c>
      <c r="D231" s="123">
        <f>SUMIF(B$3:B$3844,B231,M$3:M$3844)/(SUMIF(B$3:B$3844,B231,J$3:J$3844))</f>
        <v>0.63185358674778802</v>
      </c>
      <c r="E231" s="47">
        <v>36582</v>
      </c>
      <c r="F231" s="48" t="s">
        <v>45</v>
      </c>
      <c r="G231" s="117"/>
      <c r="H231" s="117"/>
      <c r="I231" s="40">
        <v>345</v>
      </c>
      <c r="J231" s="40">
        <v>672</v>
      </c>
      <c r="K231" s="118"/>
      <c r="L231" s="119"/>
      <c r="M231" s="110">
        <f>IF(L231="",I231,(MIN(J231,(L231*1.6*J231))))</f>
        <v>345</v>
      </c>
      <c r="N231" s="111">
        <f>IF(M231=0,0,(M231/J231))</f>
        <v>0.5133928571428571</v>
      </c>
    </row>
    <row r="232" spans="2:14">
      <c r="B232" s="73">
        <v>127743</v>
      </c>
      <c r="C232" s="23" t="s">
        <v>7</v>
      </c>
      <c r="D232" s="123">
        <f>SUMIF(B$3:B$3844,B232,M$3:M$3844)/(SUMIF(B$3:B$3844,B232,J$3:J$3844))</f>
        <v>0.63185358674778802</v>
      </c>
      <c r="E232" s="23">
        <v>36567</v>
      </c>
      <c r="F232" s="46" t="s">
        <v>46</v>
      </c>
      <c r="G232" s="117"/>
      <c r="H232" s="117"/>
      <c r="I232" s="41">
        <v>572</v>
      </c>
      <c r="J232" s="41">
        <v>673</v>
      </c>
      <c r="K232" s="118"/>
      <c r="L232" s="119"/>
      <c r="M232" s="110">
        <f>IF(L232="",I232,(MIN(J232,(L232*1.6*J232))))</f>
        <v>572</v>
      </c>
      <c r="N232" s="111">
        <f>IF(M232=0,0,(M232/J232))</f>
        <v>0.84992570579494797</v>
      </c>
    </row>
    <row r="233" spans="2:14">
      <c r="B233" s="72">
        <v>127743</v>
      </c>
      <c r="C233" s="47" t="s">
        <v>7</v>
      </c>
      <c r="D233" s="123">
        <f>SUMIF(B$3:B$3844,B233,M$3:M$3844)/(SUMIF(B$3:B$3844,B233,J$3:J$3844))</f>
        <v>0.63185358674778802</v>
      </c>
      <c r="E233" s="47">
        <v>36564</v>
      </c>
      <c r="F233" s="48" t="s">
        <v>47</v>
      </c>
      <c r="G233" s="117"/>
      <c r="H233" s="117"/>
      <c r="I233" s="124">
        <v>1724</v>
      </c>
      <c r="J233" s="124">
        <v>2845</v>
      </c>
      <c r="K233" s="118"/>
      <c r="L233" s="119"/>
      <c r="M233" s="110">
        <f>IF(L233="",I233,(MIN(J233,(L233*1.6*J233))))</f>
        <v>1724</v>
      </c>
      <c r="N233" s="111">
        <f>IF(M233=0,0,(M233/J233))</f>
        <v>0.60597539543057999</v>
      </c>
    </row>
    <row r="234" spans="2:14">
      <c r="B234" s="73">
        <v>127743</v>
      </c>
      <c r="C234" s="23" t="s">
        <v>7</v>
      </c>
      <c r="D234" s="123">
        <f>SUMIF(B$3:B$3844,B234,M$3:M$3844)/(SUMIF(B$3:B$3844,B234,J$3:J$3844))</f>
        <v>0.63185358674778802</v>
      </c>
      <c r="E234" s="23">
        <v>36610</v>
      </c>
      <c r="F234" s="46" t="s">
        <v>48</v>
      </c>
      <c r="G234" s="117"/>
      <c r="H234" s="117"/>
      <c r="I234" s="41">
        <v>587</v>
      </c>
      <c r="J234" s="45">
        <v>1163</v>
      </c>
      <c r="K234" s="118"/>
      <c r="L234" s="119"/>
      <c r="M234" s="110">
        <f>IF(L234="",I234,(MIN(J234,(L234*1.6*J234))))</f>
        <v>587</v>
      </c>
      <c r="N234" s="111">
        <f>IF(M234=0,0,(M234/J234))</f>
        <v>0.50472914875322439</v>
      </c>
    </row>
    <row r="235" spans="2:14">
      <c r="B235" s="72">
        <v>127743</v>
      </c>
      <c r="C235" s="47" t="s">
        <v>7</v>
      </c>
      <c r="D235" s="123">
        <f>SUMIF(B$3:B$3844,B235,M$3:M$3844)/(SUMIF(B$3:B$3844,B235,J$3:J$3844))</f>
        <v>0.63185358674778802</v>
      </c>
      <c r="E235" s="47">
        <v>36612</v>
      </c>
      <c r="F235" s="48" t="s">
        <v>49</v>
      </c>
      <c r="G235" s="117"/>
      <c r="H235" s="117"/>
      <c r="I235" s="40">
        <v>335</v>
      </c>
      <c r="J235" s="40">
        <v>853</v>
      </c>
      <c r="K235" s="118"/>
      <c r="L235" s="119"/>
      <c r="M235" s="110">
        <f>IF(L235="",I235,(MIN(J235,(L235*1.6*J235))))</f>
        <v>335</v>
      </c>
      <c r="N235" s="111">
        <f>IF(M235=0,0,(M235/J235))</f>
        <v>0.39273153575615477</v>
      </c>
    </row>
    <row r="236" spans="2:14">
      <c r="B236" s="73">
        <v>127743</v>
      </c>
      <c r="C236" s="23" t="s">
        <v>7</v>
      </c>
      <c r="D236" s="123">
        <f>SUMIF(B$3:B$3844,B236,M$3:M$3844)/(SUMIF(B$3:B$3844,B236,J$3:J$3844))</f>
        <v>0.63185358674778802</v>
      </c>
      <c r="E236" s="23">
        <v>37221</v>
      </c>
      <c r="F236" s="46" t="s">
        <v>50</v>
      </c>
      <c r="G236" s="117"/>
      <c r="H236" s="117"/>
      <c r="I236" s="41">
        <v>289</v>
      </c>
      <c r="J236" s="45">
        <v>1051</v>
      </c>
      <c r="K236" s="118"/>
      <c r="L236" s="119"/>
      <c r="M236" s="110">
        <f>IF(L236="",I236,(MIN(J236,(L236*1.6*J236))))</f>
        <v>289</v>
      </c>
      <c r="N236" s="111">
        <f>IF(M236=0,0,(M236/J236))</f>
        <v>0.27497621313035203</v>
      </c>
    </row>
    <row r="237" spans="2:14">
      <c r="B237" s="72">
        <v>127743</v>
      </c>
      <c r="C237" s="47" t="s">
        <v>7</v>
      </c>
      <c r="D237" s="123">
        <f>SUMIF(B$3:B$3844,B237,M$3:M$3844)/(SUMIF(B$3:B$3844,B237,J$3:J$3844))</f>
        <v>0.63185358674778802</v>
      </c>
      <c r="E237" s="47">
        <v>36563</v>
      </c>
      <c r="F237" s="48" t="s">
        <v>51</v>
      </c>
      <c r="G237" s="117"/>
      <c r="H237" s="117"/>
      <c r="I237" s="40">
        <v>636</v>
      </c>
      <c r="J237" s="40">
        <v>709</v>
      </c>
      <c r="K237" s="118"/>
      <c r="L237" s="119"/>
      <c r="M237" s="110">
        <f>IF(L237="",I237,(MIN(J237,(L237*1.6*J237))))</f>
        <v>636</v>
      </c>
      <c r="N237" s="111">
        <f>IF(M237=0,0,(M237/J237))</f>
        <v>0.89703808180535971</v>
      </c>
    </row>
    <row r="238" spans="2:14">
      <c r="B238" s="73">
        <v>127743</v>
      </c>
      <c r="C238" s="23" t="s">
        <v>7</v>
      </c>
      <c r="D238" s="123">
        <f>SUMIF(B$3:B$3844,B238,M$3:M$3844)/(SUMIF(B$3:B$3844,B238,J$3:J$3844))</f>
        <v>0.63185358674778802</v>
      </c>
      <c r="E238" s="23">
        <v>37177</v>
      </c>
      <c r="F238" s="46" t="s">
        <v>52</v>
      </c>
      <c r="G238" s="117"/>
      <c r="H238" s="117"/>
      <c r="I238" s="41">
        <v>719</v>
      </c>
      <c r="J238" s="41">
        <v>811</v>
      </c>
      <c r="K238" s="118"/>
      <c r="L238" s="119"/>
      <c r="M238" s="110">
        <f>IF(L238="",I238,(MIN(J238,(L238*1.6*J238))))</f>
        <v>719</v>
      </c>
      <c r="N238" s="111">
        <f>IF(M238=0,0,(M238/J238))</f>
        <v>0.88655980271270041</v>
      </c>
    </row>
    <row r="239" spans="2:14">
      <c r="B239" s="72">
        <v>127743</v>
      </c>
      <c r="C239" s="47" t="s">
        <v>7</v>
      </c>
      <c r="D239" s="123">
        <f>SUMIF(B$3:B$3844,B239,M$3:M$3844)/(SUMIF(B$3:B$3844,B239,J$3:J$3844))</f>
        <v>0.63185358674778802</v>
      </c>
      <c r="E239" s="47">
        <v>36592</v>
      </c>
      <c r="F239" s="48" t="s">
        <v>53</v>
      </c>
      <c r="G239" s="117"/>
      <c r="H239" s="117"/>
      <c r="I239" s="40">
        <v>115</v>
      </c>
      <c r="J239" s="40">
        <v>148</v>
      </c>
      <c r="K239" s="118"/>
      <c r="L239" s="119"/>
      <c r="M239" s="110">
        <f>IF(L239="",I239,(MIN(J239,(L239*1.6*J239))))</f>
        <v>115</v>
      </c>
      <c r="N239" s="111">
        <f>IF(M239=0,0,(M239/J239))</f>
        <v>0.77702702702702697</v>
      </c>
    </row>
    <row r="240" spans="2:14">
      <c r="B240" s="73">
        <v>127743</v>
      </c>
      <c r="C240" s="23" t="s">
        <v>7</v>
      </c>
      <c r="D240" s="123">
        <f>SUMIF(B$3:B$3844,B240,M$3:M$3844)/(SUMIF(B$3:B$3844,B240,J$3:J$3844))</f>
        <v>0.63185358674778802</v>
      </c>
      <c r="E240" s="23">
        <v>36553</v>
      </c>
      <c r="F240" s="46" t="s">
        <v>54</v>
      </c>
      <c r="G240" s="117"/>
      <c r="H240" s="117"/>
      <c r="I240" s="45">
        <v>1117</v>
      </c>
      <c r="J240" s="45">
        <v>1322</v>
      </c>
      <c r="K240" s="118"/>
      <c r="L240" s="119"/>
      <c r="M240" s="110">
        <f>IF(L240="",I240,(MIN(J240,(L240*1.6*J240))))</f>
        <v>1117</v>
      </c>
      <c r="N240" s="111">
        <f>IF(M240=0,0,(M240/J240))</f>
        <v>0.84493192133131623</v>
      </c>
    </row>
    <row r="241" spans="2:14">
      <c r="B241" s="72">
        <v>127743</v>
      </c>
      <c r="C241" s="47" t="s">
        <v>7</v>
      </c>
      <c r="D241" s="123">
        <f>SUMIF(B$3:B$3844,B241,M$3:M$3844)/(SUMIF(B$3:B$3844,B241,J$3:J$3844))</f>
        <v>0.63185358674778802</v>
      </c>
      <c r="E241" s="47">
        <v>218648</v>
      </c>
      <c r="F241" s="48" t="s">
        <v>55</v>
      </c>
      <c r="G241" s="117"/>
      <c r="H241" s="117"/>
      <c r="I241" s="40">
        <v>817</v>
      </c>
      <c r="J241" s="124">
        <v>4606</v>
      </c>
      <c r="K241" s="118"/>
      <c r="L241" s="119"/>
      <c r="M241" s="110">
        <f>IF(L241="",I241,(MIN(J241,(L241*1.6*J241))))</f>
        <v>817</v>
      </c>
      <c r="N241" s="111">
        <f>IF(M241=0,0,(M241/J241))</f>
        <v>0.17737733391228833</v>
      </c>
    </row>
    <row r="242" spans="2:14">
      <c r="B242" s="73">
        <v>127743</v>
      </c>
      <c r="C242" s="23" t="s">
        <v>7</v>
      </c>
      <c r="D242" s="123">
        <f>SUMIF(B$3:B$3844,B242,M$3:M$3844)/(SUMIF(B$3:B$3844,B242,J$3:J$3844))</f>
        <v>0.63185358674778802</v>
      </c>
      <c r="E242" s="23">
        <v>36536</v>
      </c>
      <c r="F242" s="46" t="s">
        <v>56</v>
      </c>
      <c r="G242" s="117"/>
      <c r="H242" s="117"/>
      <c r="I242" s="41">
        <v>785</v>
      </c>
      <c r="J242" s="41">
        <v>831</v>
      </c>
      <c r="K242" s="118"/>
      <c r="L242" s="119"/>
      <c r="M242" s="110">
        <f>IF(L242="",I242,(MIN(J242,(L242*1.6*J242))))</f>
        <v>785</v>
      </c>
      <c r="N242" s="111">
        <f>IF(M242=0,0,(M242/J242))</f>
        <v>0.9446450060168472</v>
      </c>
    </row>
    <row r="243" spans="2:14">
      <c r="B243" s="72">
        <v>127743</v>
      </c>
      <c r="C243" s="47" t="s">
        <v>7</v>
      </c>
      <c r="D243" s="123">
        <f>SUMIF(B$3:B$3844,B243,M$3:M$3844)/(SUMIF(B$3:B$3844,B243,J$3:J$3844))</f>
        <v>0.63185358674778802</v>
      </c>
      <c r="E243" s="47">
        <v>36594</v>
      </c>
      <c r="F243" s="48" t="s">
        <v>57</v>
      </c>
      <c r="G243" s="117"/>
      <c r="H243" s="117"/>
      <c r="I243" s="40">
        <v>93</v>
      </c>
      <c r="J243" s="40">
        <v>107</v>
      </c>
      <c r="K243" s="118"/>
      <c r="L243" s="119"/>
      <c r="M243" s="110">
        <f>IF(L243="",I243,(MIN(J243,(L243*1.6*J243))))</f>
        <v>93</v>
      </c>
      <c r="N243" s="111">
        <f>IF(M243=0,0,(M243/J243))</f>
        <v>0.86915887850467288</v>
      </c>
    </row>
    <row r="244" spans="2:14">
      <c r="B244" s="73">
        <v>127743</v>
      </c>
      <c r="C244" s="23" t="s">
        <v>7</v>
      </c>
      <c r="D244" s="123">
        <f>SUMIF(B$3:B$3844,B244,M$3:M$3844)/(SUMIF(B$3:B$3844,B244,J$3:J$3844))</f>
        <v>0.63185358674778802</v>
      </c>
      <c r="E244" s="23">
        <v>36287</v>
      </c>
      <c r="F244" s="46" t="s">
        <v>58</v>
      </c>
      <c r="G244" s="117"/>
      <c r="H244" s="117"/>
      <c r="I244" s="41">
        <v>437</v>
      </c>
      <c r="J244" s="41">
        <v>510</v>
      </c>
      <c r="K244" s="118"/>
      <c r="L244" s="119"/>
      <c r="M244" s="110">
        <f>IF(L244="",I244,(MIN(J244,(L244*1.6*J244))))</f>
        <v>437</v>
      </c>
      <c r="N244" s="111">
        <f>IF(M244=0,0,(M244/J244))</f>
        <v>0.85686274509803917</v>
      </c>
    </row>
    <row r="245" spans="2:14">
      <c r="B245" s="72">
        <v>127743</v>
      </c>
      <c r="C245" s="47" t="s">
        <v>7</v>
      </c>
      <c r="D245" s="123">
        <f>SUMIF(B$3:B$3844,B245,M$3:M$3844)/(SUMIF(B$3:B$3844,B245,J$3:J$3844))</f>
        <v>0.63185358674778802</v>
      </c>
      <c r="E245" s="47">
        <v>172656</v>
      </c>
      <c r="F245" s="48" t="s">
        <v>59</v>
      </c>
      <c r="G245" s="117"/>
      <c r="H245" s="117"/>
      <c r="I245" s="40"/>
      <c r="J245" s="40" t="s">
        <v>264</v>
      </c>
      <c r="K245" s="118"/>
      <c r="L245" s="119"/>
      <c r="M245" s="110">
        <f>IF(L245="",I245,(MIN(J245,(L245*1.6*J245))))</f>
        <v>0</v>
      </c>
      <c r="N245" s="111">
        <f>IF(M245=0,0,(M245/J245))</f>
        <v>0</v>
      </c>
    </row>
    <row r="246" spans="2:14">
      <c r="B246" s="73">
        <v>127743</v>
      </c>
      <c r="C246" s="23" t="s">
        <v>7</v>
      </c>
      <c r="D246" s="123">
        <f>SUMIF(B$3:B$3844,B246,M$3:M$3844)/(SUMIF(B$3:B$3844,B246,J$3:J$3844))</f>
        <v>0.63185358674778802</v>
      </c>
      <c r="E246" s="23">
        <v>224152</v>
      </c>
      <c r="F246" s="46" t="s">
        <v>60</v>
      </c>
      <c r="G246" s="117"/>
      <c r="H246" s="117"/>
      <c r="I246" s="41">
        <v>335</v>
      </c>
      <c r="J246" s="41">
        <v>442</v>
      </c>
      <c r="K246" s="118"/>
      <c r="L246" s="119"/>
      <c r="M246" s="110">
        <f>IF(L246="",I246,(MIN(J246,(L246*1.6*J246))))</f>
        <v>335</v>
      </c>
      <c r="N246" s="111">
        <f>IF(M246=0,0,(M246/J246))</f>
        <v>0.75791855203619907</v>
      </c>
    </row>
    <row r="247" spans="2:14">
      <c r="B247" s="72">
        <v>127743</v>
      </c>
      <c r="C247" s="47" t="s">
        <v>7</v>
      </c>
      <c r="D247" s="123">
        <f>SUMIF(B$3:B$3844,B247,M$3:M$3844)/(SUMIF(B$3:B$3844,B247,J$3:J$3844))</f>
        <v>0.63185358674778802</v>
      </c>
      <c r="E247" s="47">
        <v>37167</v>
      </c>
      <c r="F247" s="48" t="s">
        <v>61</v>
      </c>
      <c r="G247" s="117"/>
      <c r="H247" s="117"/>
      <c r="I247" s="40">
        <v>648</v>
      </c>
      <c r="J247" s="40">
        <v>801</v>
      </c>
      <c r="K247" s="118"/>
      <c r="L247" s="119"/>
      <c r="M247" s="110">
        <f>IF(L247="",I247,(MIN(J247,(L247*1.6*J247))))</f>
        <v>648</v>
      </c>
      <c r="N247" s="111">
        <f>IF(M247=0,0,(M247/J247))</f>
        <v>0.8089887640449438</v>
      </c>
    </row>
    <row r="248" spans="2:14">
      <c r="B248" s="73">
        <v>127743</v>
      </c>
      <c r="C248" s="23" t="s">
        <v>7</v>
      </c>
      <c r="D248" s="123">
        <f>SUMIF(B$3:B$3844,B248,M$3:M$3844)/(SUMIF(B$3:B$3844,B248,J$3:J$3844))</f>
        <v>0.63185358674778802</v>
      </c>
      <c r="E248" s="23">
        <v>37414</v>
      </c>
      <c r="F248" s="46" t="s">
        <v>62</v>
      </c>
      <c r="G248" s="117"/>
      <c r="H248" s="117"/>
      <c r="I248" s="41">
        <v>536</v>
      </c>
      <c r="J248" s="41">
        <v>692</v>
      </c>
      <c r="K248" s="118"/>
      <c r="L248" s="119"/>
      <c r="M248" s="110">
        <f>IF(L248="",I248,(MIN(J248,(L248*1.6*J248))))</f>
        <v>536</v>
      </c>
      <c r="N248" s="111">
        <f>IF(M248=0,0,(M248/J248))</f>
        <v>0.77456647398843925</v>
      </c>
    </row>
    <row r="249" spans="2:14">
      <c r="B249" s="72">
        <v>127743</v>
      </c>
      <c r="C249" s="47" t="s">
        <v>7</v>
      </c>
      <c r="D249" s="123">
        <f>SUMIF(B$3:B$3844,B249,M$3:M$3844)/(SUMIF(B$3:B$3844,B249,J$3:J$3844))</f>
        <v>0.63185358674778802</v>
      </c>
      <c r="E249" s="47">
        <v>37422</v>
      </c>
      <c r="F249" s="48" t="s">
        <v>63</v>
      </c>
      <c r="G249" s="117"/>
      <c r="H249" s="117"/>
      <c r="I249" s="124">
        <v>1685</v>
      </c>
      <c r="J249" s="124">
        <v>2442</v>
      </c>
      <c r="K249" s="118"/>
      <c r="L249" s="119"/>
      <c r="M249" s="110">
        <f>IF(L249="",I249,(MIN(J249,(L249*1.6*J249))))</f>
        <v>1685</v>
      </c>
      <c r="N249" s="111">
        <f>IF(M249=0,0,(M249/J249))</f>
        <v>0.69000819000819003</v>
      </c>
    </row>
    <row r="250" spans="2:14">
      <c r="B250" s="73">
        <v>127743</v>
      </c>
      <c r="C250" s="23" t="s">
        <v>7</v>
      </c>
      <c r="D250" s="123">
        <f>SUMIF(B$3:B$3844,B250,M$3:M$3844)/(SUMIF(B$3:B$3844,B250,J$3:J$3844))</f>
        <v>0.63185358674778802</v>
      </c>
      <c r="E250" s="23">
        <v>37417</v>
      </c>
      <c r="F250" s="46" t="s">
        <v>64</v>
      </c>
      <c r="G250" s="117"/>
      <c r="H250" s="117"/>
      <c r="I250" s="41">
        <v>895</v>
      </c>
      <c r="J250" s="45">
        <v>1113</v>
      </c>
      <c r="K250" s="118"/>
      <c r="L250" s="119"/>
      <c r="M250" s="110">
        <f>IF(L250="",I250,(MIN(J250,(L250*1.6*J250))))</f>
        <v>895</v>
      </c>
      <c r="N250" s="111">
        <f>IF(M250=0,0,(M250/J250))</f>
        <v>0.80413297394429473</v>
      </c>
    </row>
    <row r="251" spans="2:14">
      <c r="B251" s="72">
        <v>127743</v>
      </c>
      <c r="C251" s="47" t="s">
        <v>7</v>
      </c>
      <c r="D251" s="123">
        <f>SUMIF(B$3:B$3844,B251,M$3:M$3844)/(SUMIF(B$3:B$3844,B251,J$3:J$3844))</f>
        <v>0.63185358674778802</v>
      </c>
      <c r="E251" s="47">
        <v>37416</v>
      </c>
      <c r="F251" s="48" t="s">
        <v>65</v>
      </c>
      <c r="G251" s="117"/>
      <c r="H251" s="117"/>
      <c r="I251" s="40">
        <v>526</v>
      </c>
      <c r="J251" s="40">
        <v>562</v>
      </c>
      <c r="K251" s="118"/>
      <c r="L251" s="119"/>
      <c r="M251" s="110">
        <f>IF(L251="",I251,(MIN(J251,(L251*1.6*J251))))</f>
        <v>526</v>
      </c>
      <c r="N251" s="111">
        <f>IF(M251=0,0,(M251/J251))</f>
        <v>0.93594306049822062</v>
      </c>
    </row>
    <row r="252" spans="2:14">
      <c r="B252" s="73">
        <v>127743</v>
      </c>
      <c r="C252" s="23" t="s">
        <v>7</v>
      </c>
      <c r="D252" s="123">
        <f>SUMIF(B$3:B$3844,B252,M$3:M$3844)/(SUMIF(B$3:B$3844,B252,J$3:J$3844))</f>
        <v>0.63185358674778802</v>
      </c>
      <c r="E252" s="23">
        <v>37123</v>
      </c>
      <c r="F252" s="46" t="s">
        <v>66</v>
      </c>
      <c r="G252" s="117"/>
      <c r="H252" s="117"/>
      <c r="I252" s="45">
        <v>1925</v>
      </c>
      <c r="J252" s="45">
        <v>2277</v>
      </c>
      <c r="K252" s="118"/>
      <c r="L252" s="119"/>
      <c r="M252" s="110">
        <f>IF(L252="",I252,(MIN(J252,(L252*1.6*J252))))</f>
        <v>1925</v>
      </c>
      <c r="N252" s="111">
        <f>IF(M252=0,0,(M252/J252))</f>
        <v>0.84541062801932365</v>
      </c>
    </row>
    <row r="253" spans="2:14">
      <c r="B253" s="72">
        <v>127743</v>
      </c>
      <c r="C253" s="47" t="s">
        <v>7</v>
      </c>
      <c r="D253" s="123">
        <f>SUMIF(B$3:B$3844,B253,M$3:M$3844)/(SUMIF(B$3:B$3844,B253,J$3:J$3844))</f>
        <v>0.63185358674778802</v>
      </c>
      <c r="E253" s="47">
        <v>37117</v>
      </c>
      <c r="F253" s="48" t="s">
        <v>67</v>
      </c>
      <c r="G253" s="117"/>
      <c r="H253" s="117"/>
      <c r="I253" s="40">
        <v>821</v>
      </c>
      <c r="J253" s="40">
        <v>832</v>
      </c>
      <c r="K253" s="118"/>
      <c r="L253" s="119"/>
      <c r="M253" s="110">
        <f>IF(L253="",I253,(MIN(J253,(L253*1.6*J253))))</f>
        <v>821</v>
      </c>
      <c r="N253" s="111">
        <f>IF(M253=0,0,(M253/J253))</f>
        <v>0.98677884615384615</v>
      </c>
    </row>
    <row r="254" spans="2:14">
      <c r="B254" s="73">
        <v>127743</v>
      </c>
      <c r="C254" s="23" t="s">
        <v>7</v>
      </c>
      <c r="D254" s="123">
        <f>SUMIF(B$3:B$3844,B254,M$3:M$3844)/(SUMIF(B$3:B$3844,B254,J$3:J$3844))</f>
        <v>0.63185358674778802</v>
      </c>
      <c r="E254" s="23">
        <v>16052332</v>
      </c>
      <c r="F254" s="46" t="s">
        <v>68</v>
      </c>
      <c r="G254" s="117"/>
      <c r="H254" s="117"/>
      <c r="I254" s="41">
        <v>700</v>
      </c>
      <c r="J254" s="45">
        <v>1020</v>
      </c>
      <c r="K254" s="118"/>
      <c r="L254" s="119"/>
      <c r="M254" s="110">
        <f>IF(L254="",I254,(MIN(J254,(L254*1.6*J254))))</f>
        <v>700</v>
      </c>
      <c r="N254" s="111">
        <f>IF(M254=0,0,(M254/J254))</f>
        <v>0.68627450980392157</v>
      </c>
    </row>
    <row r="255" spans="2:14">
      <c r="B255" s="72">
        <v>127743</v>
      </c>
      <c r="C255" s="47" t="s">
        <v>7</v>
      </c>
      <c r="D255" s="123">
        <f>SUMIF(B$3:B$3844,B255,M$3:M$3844)/(SUMIF(B$3:B$3844,B255,J$3:J$3844))</f>
        <v>0.63185358674778802</v>
      </c>
      <c r="E255" s="47">
        <v>16033143</v>
      </c>
      <c r="F255" s="48" t="s">
        <v>69</v>
      </c>
      <c r="G255" s="117"/>
      <c r="H255" s="117"/>
      <c r="I255" s="40">
        <v>367</v>
      </c>
      <c r="J255" s="40">
        <v>698</v>
      </c>
      <c r="K255" s="118"/>
      <c r="L255" s="119"/>
      <c r="M255" s="110">
        <f>IF(L255="",I255,(MIN(J255,(L255*1.6*J255))))</f>
        <v>367</v>
      </c>
      <c r="N255" s="111">
        <f>IF(M255=0,0,(M255/J255))</f>
        <v>0.52578796561604579</v>
      </c>
    </row>
    <row r="256" spans="2:14">
      <c r="B256" s="73">
        <v>127743</v>
      </c>
      <c r="C256" s="23" t="s">
        <v>7</v>
      </c>
      <c r="D256" s="123">
        <f>SUMIF(B$3:B$3844,B256,M$3:M$3844)/(SUMIF(B$3:B$3844,B256,J$3:J$3844))</f>
        <v>0.63185358674778802</v>
      </c>
      <c r="E256" s="23">
        <v>36407</v>
      </c>
      <c r="F256" s="46" t="s">
        <v>70</v>
      </c>
      <c r="G256" s="117"/>
      <c r="H256" s="117"/>
      <c r="I256" s="41">
        <v>435</v>
      </c>
      <c r="J256" s="41">
        <v>543</v>
      </c>
      <c r="K256" s="118"/>
      <c r="L256" s="119"/>
      <c r="M256" s="110">
        <f>IF(L256="",I256,(MIN(J256,(L256*1.6*J256))))</f>
        <v>435</v>
      </c>
      <c r="N256" s="111">
        <f>IF(M256=0,0,(M256/J256))</f>
        <v>0.80110497237569056</v>
      </c>
    </row>
    <row r="257" spans="2:14">
      <c r="B257" s="72">
        <v>127743</v>
      </c>
      <c r="C257" s="47" t="s">
        <v>7</v>
      </c>
      <c r="D257" s="123">
        <f>SUMIF(B$3:B$3844,B257,M$3:M$3844)/(SUMIF(B$3:B$3844,B257,J$3:J$3844))</f>
        <v>0.63185358674778802</v>
      </c>
      <c r="E257" s="47">
        <v>36408</v>
      </c>
      <c r="F257" s="48" t="s">
        <v>71</v>
      </c>
      <c r="G257" s="117"/>
      <c r="H257" s="117"/>
      <c r="I257" s="124">
        <v>1130</v>
      </c>
      <c r="J257" s="124">
        <v>1439</v>
      </c>
      <c r="K257" s="118"/>
      <c r="L257" s="119"/>
      <c r="M257" s="110">
        <f>IF(L257="",I257,(MIN(J257,(L257*1.6*J257))))</f>
        <v>1130</v>
      </c>
      <c r="N257" s="111">
        <f>IF(M257=0,0,(M257/J257))</f>
        <v>0.78526754690757472</v>
      </c>
    </row>
    <row r="258" spans="2:14">
      <c r="B258" s="73">
        <v>127743</v>
      </c>
      <c r="C258" s="23" t="s">
        <v>7</v>
      </c>
      <c r="D258" s="123">
        <f>SUMIF(B$3:B$3844,B258,M$3:M$3844)/(SUMIF(B$3:B$3844,B258,J$3:J$3844))</f>
        <v>0.63185358674778802</v>
      </c>
      <c r="E258" s="23">
        <v>37224</v>
      </c>
      <c r="F258" s="46" t="s">
        <v>72</v>
      </c>
      <c r="G258" s="117"/>
      <c r="H258" s="117"/>
      <c r="I258" s="41">
        <v>497</v>
      </c>
      <c r="J258" s="45">
        <v>1363</v>
      </c>
      <c r="K258" s="118"/>
      <c r="L258" s="119"/>
      <c r="M258" s="110">
        <f>IF(L258="",I258,(MIN(J258,(L258*1.6*J258))))</f>
        <v>497</v>
      </c>
      <c r="N258" s="111">
        <f>IF(M258=0,0,(M258/J258))</f>
        <v>0.36463683052090978</v>
      </c>
    </row>
    <row r="259" spans="2:14">
      <c r="B259" s="72">
        <v>127743</v>
      </c>
      <c r="C259" s="47" t="s">
        <v>7</v>
      </c>
      <c r="D259" s="123">
        <f>SUMIF(B$3:B$3844,B259,M$3:M$3844)/(SUMIF(B$3:B$3844,B259,J$3:J$3844))</f>
        <v>0.63185358674778802</v>
      </c>
      <c r="E259" s="47">
        <v>36613</v>
      </c>
      <c r="F259" s="48" t="s">
        <v>73</v>
      </c>
      <c r="G259" s="117"/>
      <c r="H259" s="117"/>
      <c r="I259" s="40">
        <v>216</v>
      </c>
      <c r="J259" s="40">
        <v>849</v>
      </c>
      <c r="K259" s="118"/>
      <c r="L259" s="119"/>
      <c r="M259" s="110">
        <f>IF(L259="",I259,(MIN(J259,(L259*1.6*J259))))</f>
        <v>216</v>
      </c>
      <c r="N259" s="111">
        <f>IF(M259=0,0,(M259/J259))</f>
        <v>0.25441696113074203</v>
      </c>
    </row>
    <row r="260" spans="2:14">
      <c r="B260" s="73">
        <v>127743</v>
      </c>
      <c r="C260" s="23" t="s">
        <v>7</v>
      </c>
      <c r="D260" s="123">
        <f>SUMIF(B$3:B$3844,B260,M$3:M$3844)/(SUMIF(B$3:B$3844,B260,J$3:J$3844))</f>
        <v>0.63185358674778802</v>
      </c>
      <c r="E260" s="23">
        <v>16022588</v>
      </c>
      <c r="F260" s="46" t="s">
        <v>74</v>
      </c>
      <c r="G260" s="117"/>
      <c r="H260" s="117"/>
      <c r="I260" s="41"/>
      <c r="J260" s="41" t="s">
        <v>264</v>
      </c>
      <c r="K260" s="118"/>
      <c r="L260" s="119"/>
      <c r="M260" s="110">
        <f>IF(L260="",I260,(MIN(J260,(L260*1.6*J260))))</f>
        <v>0</v>
      </c>
      <c r="N260" s="111">
        <f>IF(M260=0,0,(M260/J260))</f>
        <v>0</v>
      </c>
    </row>
    <row r="261" spans="2:14">
      <c r="B261" s="72">
        <v>127743</v>
      </c>
      <c r="C261" s="47" t="s">
        <v>7</v>
      </c>
      <c r="D261" s="123">
        <f>SUMIF(B$3:B$3844,B261,M$3:M$3844)/(SUMIF(B$3:B$3844,B261,J$3:J$3844))</f>
        <v>0.63185358674778802</v>
      </c>
      <c r="E261" s="47">
        <v>36431</v>
      </c>
      <c r="F261" s="48" t="s">
        <v>75</v>
      </c>
      <c r="G261" s="117"/>
      <c r="H261" s="117"/>
      <c r="I261" s="40">
        <v>227</v>
      </c>
      <c r="J261" s="124">
        <v>1156</v>
      </c>
      <c r="K261" s="118"/>
      <c r="L261" s="119"/>
      <c r="M261" s="110">
        <f>IF(L261="",I261,(MIN(J261,(L261*1.6*J261))))</f>
        <v>227</v>
      </c>
      <c r="N261" s="111">
        <f>IF(M261=0,0,(M261/J261))</f>
        <v>0.19636678200692043</v>
      </c>
    </row>
    <row r="262" spans="2:14">
      <c r="B262" s="73">
        <v>127743</v>
      </c>
      <c r="C262" s="23" t="s">
        <v>7</v>
      </c>
      <c r="D262" s="123">
        <f>SUMIF(B$3:B$3844,B262,M$3:M$3844)/(SUMIF(B$3:B$3844,B262,J$3:J$3844))</f>
        <v>0.63185358674778802</v>
      </c>
      <c r="E262" s="23">
        <v>228108</v>
      </c>
      <c r="F262" s="46" t="s">
        <v>76</v>
      </c>
      <c r="G262" s="117"/>
      <c r="H262" s="117"/>
      <c r="I262" s="41">
        <v>417</v>
      </c>
      <c r="J262" s="41">
        <v>424</v>
      </c>
      <c r="K262" s="118"/>
      <c r="L262" s="119"/>
      <c r="M262" s="110">
        <f>IF(L262="",I262,(MIN(J262,(L262*1.6*J262))))</f>
        <v>417</v>
      </c>
      <c r="N262" s="111">
        <f>IF(M262=0,0,(M262/J262))</f>
        <v>0.98349056603773588</v>
      </c>
    </row>
    <row r="263" spans="2:14">
      <c r="B263" s="72">
        <v>127743</v>
      </c>
      <c r="C263" s="47" t="s">
        <v>7</v>
      </c>
      <c r="D263" s="123">
        <f>SUMIF(B$3:B$3844,B263,M$3:M$3844)/(SUMIF(B$3:B$3844,B263,J$3:J$3844))</f>
        <v>0.63185358674778802</v>
      </c>
      <c r="E263" s="47">
        <v>203091</v>
      </c>
      <c r="F263" s="48" t="s">
        <v>77</v>
      </c>
      <c r="G263" s="117"/>
      <c r="H263" s="117"/>
      <c r="I263" s="40">
        <v>210</v>
      </c>
      <c r="J263" s="124">
        <v>1109</v>
      </c>
      <c r="K263" s="118"/>
      <c r="L263" s="119"/>
      <c r="M263" s="110">
        <f>IF(L263="",I263,(MIN(J263,(L263*1.6*J263))))</f>
        <v>210</v>
      </c>
      <c r="N263" s="111">
        <f>IF(M263=0,0,(M263/J263))</f>
        <v>0.18935978358881875</v>
      </c>
    </row>
    <row r="264" spans="2:14">
      <c r="B264" s="73">
        <v>127743</v>
      </c>
      <c r="C264" s="23" t="s">
        <v>7</v>
      </c>
      <c r="D264" s="123">
        <f>SUMIF(B$3:B$3844,B264,M$3:M$3844)/(SUMIF(B$3:B$3844,B264,J$3:J$3844))</f>
        <v>0.63185358674778802</v>
      </c>
      <c r="E264" s="23">
        <v>227250</v>
      </c>
      <c r="F264" s="46" t="s">
        <v>78</v>
      </c>
      <c r="G264" s="117"/>
      <c r="H264" s="117"/>
      <c r="I264" s="45">
        <v>1192</v>
      </c>
      <c r="J264" s="45">
        <v>2401</v>
      </c>
      <c r="K264" s="118"/>
      <c r="L264" s="119"/>
      <c r="M264" s="110">
        <f>IF(L264="",I264,(MIN(J264,(L264*1.6*J264))))</f>
        <v>1192</v>
      </c>
      <c r="N264" s="111">
        <f>IF(M264=0,0,(M264/J264))</f>
        <v>0.49645980841316117</v>
      </c>
    </row>
    <row r="265" spans="2:14">
      <c r="B265" s="72">
        <v>127743</v>
      </c>
      <c r="C265" s="47" t="s">
        <v>7</v>
      </c>
      <c r="D265" s="123">
        <f>SUMIF(B$3:B$3844,B265,M$3:M$3844)/(SUMIF(B$3:B$3844,B265,J$3:J$3844))</f>
        <v>0.63185358674778802</v>
      </c>
      <c r="E265" s="47">
        <v>36401</v>
      </c>
      <c r="F265" s="48" t="s">
        <v>79</v>
      </c>
      <c r="G265" s="117"/>
      <c r="H265" s="117"/>
      <c r="I265" s="40">
        <v>668</v>
      </c>
      <c r="J265" s="40">
        <v>730</v>
      </c>
      <c r="K265" s="118"/>
      <c r="L265" s="119"/>
      <c r="M265" s="110">
        <f>IF(L265="",I265,(MIN(J265,(L265*1.6*J265))))</f>
        <v>668</v>
      </c>
      <c r="N265" s="111">
        <f>IF(M265=0,0,(M265/J265))</f>
        <v>0.91506849315068495</v>
      </c>
    </row>
    <row r="266" spans="2:14">
      <c r="B266" s="73">
        <v>127743</v>
      </c>
      <c r="C266" s="23" t="s">
        <v>7</v>
      </c>
      <c r="D266" s="123">
        <f>SUMIF(B$3:B$3844,B266,M$3:M$3844)/(SUMIF(B$3:B$3844,B266,J$3:J$3844))</f>
        <v>0.63185358674778802</v>
      </c>
      <c r="E266" s="23">
        <v>207989</v>
      </c>
      <c r="F266" s="46" t="s">
        <v>80</v>
      </c>
      <c r="G266" s="117"/>
      <c r="H266" s="117"/>
      <c r="I266" s="41">
        <v>303</v>
      </c>
      <c r="J266" s="45">
        <v>2222</v>
      </c>
      <c r="K266" s="118"/>
      <c r="L266" s="119"/>
      <c r="M266" s="110">
        <f>IF(L266="",I266,(MIN(J266,(L266*1.6*J266))))</f>
        <v>303</v>
      </c>
      <c r="N266" s="111">
        <f>IF(M266=0,0,(M266/J266))</f>
        <v>0.13636363636363635</v>
      </c>
    </row>
    <row r="267" spans="2:14">
      <c r="B267" s="72">
        <v>127743</v>
      </c>
      <c r="C267" s="47" t="s">
        <v>7</v>
      </c>
      <c r="D267" s="123">
        <f>SUMIF(B$3:B$3844,B267,M$3:M$3844)/(SUMIF(B$3:B$3844,B267,J$3:J$3844))</f>
        <v>0.63185358674778802</v>
      </c>
      <c r="E267" s="47">
        <v>37217</v>
      </c>
      <c r="F267" s="48" t="s">
        <v>81</v>
      </c>
      <c r="G267" s="117"/>
      <c r="H267" s="117"/>
      <c r="I267" s="40">
        <v>404</v>
      </c>
      <c r="J267" s="40">
        <v>665</v>
      </c>
      <c r="K267" s="118"/>
      <c r="L267" s="119"/>
      <c r="M267" s="110">
        <f>IF(L267="",I267,(MIN(J267,(L267*1.6*J267))))</f>
        <v>404</v>
      </c>
      <c r="N267" s="111">
        <f>IF(M267=0,0,(M267/J267))</f>
        <v>0.60751879699248124</v>
      </c>
    </row>
    <row r="268" spans="2:14">
      <c r="B268" s="73">
        <v>127743</v>
      </c>
      <c r="C268" s="23" t="s">
        <v>7</v>
      </c>
      <c r="D268" s="123">
        <f>SUMIF(B$3:B$3844,B268,M$3:M$3844)/(SUMIF(B$3:B$3844,B268,J$3:J$3844))</f>
        <v>0.63185358674778802</v>
      </c>
      <c r="E268" s="23">
        <v>37246</v>
      </c>
      <c r="F268" s="46" t="s">
        <v>82</v>
      </c>
      <c r="G268" s="117"/>
      <c r="H268" s="117"/>
      <c r="I268" s="41">
        <v>393</v>
      </c>
      <c r="J268" s="41">
        <v>735</v>
      </c>
      <c r="K268" s="118"/>
      <c r="L268" s="119"/>
      <c r="M268" s="110">
        <f>IF(L268="",I268,(MIN(J268,(L268*1.6*J268))))</f>
        <v>393</v>
      </c>
      <c r="N268" s="111">
        <f>IF(M268=0,0,(M268/J268))</f>
        <v>0.53469387755102038</v>
      </c>
    </row>
    <row r="269" spans="2:14">
      <c r="B269" s="72">
        <v>127743</v>
      </c>
      <c r="C269" s="47" t="s">
        <v>7</v>
      </c>
      <c r="D269" s="123">
        <f>SUMIF(B$3:B$3844,B269,M$3:M$3844)/(SUMIF(B$3:B$3844,B269,J$3:J$3844))</f>
        <v>0.63185358674778802</v>
      </c>
      <c r="E269" s="47">
        <v>36583</v>
      </c>
      <c r="F269" s="48" t="s">
        <v>83</v>
      </c>
      <c r="G269" s="117"/>
      <c r="H269" s="117"/>
      <c r="I269" s="40">
        <v>835</v>
      </c>
      <c r="J269" s="124">
        <v>1357</v>
      </c>
      <c r="K269" s="118"/>
      <c r="L269" s="119"/>
      <c r="M269" s="110">
        <f>IF(L269="",I269,(MIN(J269,(L269*1.6*J269))))</f>
        <v>835</v>
      </c>
      <c r="N269" s="111">
        <f>IF(M269=0,0,(M269/J269))</f>
        <v>0.61532792925571111</v>
      </c>
    </row>
    <row r="270" spans="2:14">
      <c r="B270" s="73">
        <v>127743</v>
      </c>
      <c r="C270" s="23" t="s">
        <v>7</v>
      </c>
      <c r="D270" s="123">
        <f>SUMIF(B$3:B$3844,B270,M$3:M$3844)/(SUMIF(B$3:B$3844,B270,J$3:J$3844))</f>
        <v>0.63185358674778802</v>
      </c>
      <c r="E270" s="23">
        <v>36573</v>
      </c>
      <c r="F270" s="46" t="s">
        <v>84</v>
      </c>
      <c r="G270" s="117"/>
      <c r="H270" s="117"/>
      <c r="I270" s="41">
        <v>515</v>
      </c>
      <c r="J270" s="41">
        <v>644</v>
      </c>
      <c r="K270" s="118"/>
      <c r="L270" s="119"/>
      <c r="M270" s="110">
        <f>IF(L270="",I270,(MIN(J270,(L270*1.6*J270))))</f>
        <v>515</v>
      </c>
      <c r="N270" s="111">
        <f>IF(M270=0,0,(M270/J270))</f>
        <v>0.7996894409937888</v>
      </c>
    </row>
    <row r="271" spans="2:14">
      <c r="B271" s="72">
        <v>127743</v>
      </c>
      <c r="C271" s="47" t="s">
        <v>7</v>
      </c>
      <c r="D271" s="123">
        <f>SUMIF(B$3:B$3844,B271,M$3:M$3844)/(SUMIF(B$3:B$3844,B271,J$3:J$3844))</f>
        <v>0.63185358674778802</v>
      </c>
      <c r="E271" s="47">
        <v>37091</v>
      </c>
      <c r="F271" s="48" t="s">
        <v>85</v>
      </c>
      <c r="G271" s="117"/>
      <c r="H271" s="117"/>
      <c r="I271" s="124">
        <v>1380</v>
      </c>
      <c r="J271" s="124">
        <v>2149</v>
      </c>
      <c r="K271" s="118"/>
      <c r="L271" s="119"/>
      <c r="M271" s="110">
        <f>IF(L271="",I271,(MIN(J271,(L271*1.6*J271))))</f>
        <v>1380</v>
      </c>
      <c r="N271" s="111">
        <f>IF(M271=0,0,(M271/J271))</f>
        <v>0.64215914378780825</v>
      </c>
    </row>
    <row r="272" spans="2:14">
      <c r="B272" s="73">
        <v>127743</v>
      </c>
      <c r="C272" s="23" t="s">
        <v>7</v>
      </c>
      <c r="D272" s="123">
        <f>SUMIF(B$3:B$3844,B272,M$3:M$3844)/(SUMIF(B$3:B$3844,B272,J$3:J$3844))</f>
        <v>0.63185358674778802</v>
      </c>
      <c r="E272" s="23">
        <v>203079</v>
      </c>
      <c r="F272" s="46" t="s">
        <v>86</v>
      </c>
      <c r="G272" s="117"/>
      <c r="H272" s="117"/>
      <c r="I272" s="41">
        <v>616</v>
      </c>
      <c r="J272" s="45">
        <v>1272</v>
      </c>
      <c r="K272" s="118"/>
      <c r="L272" s="119"/>
      <c r="M272" s="110">
        <f>IF(L272="",I272,(MIN(J272,(L272*1.6*J272))))</f>
        <v>616</v>
      </c>
      <c r="N272" s="111">
        <f>IF(M272=0,0,(M272/J272))</f>
        <v>0.48427672955974843</v>
      </c>
    </row>
    <row r="273" spans="2:14">
      <c r="B273" s="72">
        <v>127743</v>
      </c>
      <c r="C273" s="47" t="s">
        <v>7</v>
      </c>
      <c r="D273" s="123">
        <f>SUMIF(B$3:B$3844,B273,M$3:M$3844)/(SUMIF(B$3:B$3844,B273,J$3:J$3844))</f>
        <v>0.63185358674778802</v>
      </c>
      <c r="E273" s="47">
        <v>203080</v>
      </c>
      <c r="F273" s="48" t="s">
        <v>87</v>
      </c>
      <c r="G273" s="117"/>
      <c r="H273" s="117"/>
      <c r="I273" s="40">
        <v>176</v>
      </c>
      <c r="J273" s="124">
        <v>1290</v>
      </c>
      <c r="K273" s="118"/>
      <c r="L273" s="119"/>
      <c r="M273" s="110">
        <f>IF(L273="",I273,(MIN(J273,(L273*1.6*J273))))</f>
        <v>176</v>
      </c>
      <c r="N273" s="111">
        <f>IF(M273=0,0,(M273/J273))</f>
        <v>0.13643410852713178</v>
      </c>
    </row>
    <row r="274" spans="2:14">
      <c r="B274" s="73">
        <v>127743</v>
      </c>
      <c r="C274" s="23" t="s">
        <v>7</v>
      </c>
      <c r="D274" s="123">
        <f>SUMIF(B$3:B$3844,B274,M$3:M$3844)/(SUMIF(B$3:B$3844,B274,J$3:J$3844))</f>
        <v>0.63185358674778802</v>
      </c>
      <c r="E274" s="23">
        <v>16023193</v>
      </c>
      <c r="F274" s="46" t="s">
        <v>88</v>
      </c>
      <c r="G274" s="117"/>
      <c r="H274" s="117"/>
      <c r="I274" s="41">
        <v>634</v>
      </c>
      <c r="J274" s="45">
        <v>1303</v>
      </c>
      <c r="K274" s="118"/>
      <c r="L274" s="119"/>
      <c r="M274" s="110">
        <f>IF(L274="",I274,(MIN(J274,(L274*1.6*J274))))</f>
        <v>634</v>
      </c>
      <c r="N274" s="111">
        <f>IF(M274=0,0,(M274/J274))</f>
        <v>0.48656945510360705</v>
      </c>
    </row>
    <row r="275" spans="2:14">
      <c r="B275" s="72">
        <v>127743</v>
      </c>
      <c r="C275" s="47" t="s">
        <v>7</v>
      </c>
      <c r="D275" s="123">
        <f>SUMIF(B$3:B$3844,B275,M$3:M$3844)/(SUMIF(B$3:B$3844,B275,J$3:J$3844))</f>
        <v>0.63185358674778802</v>
      </c>
      <c r="E275" s="47">
        <v>37238</v>
      </c>
      <c r="F275" s="48" t="s">
        <v>89</v>
      </c>
      <c r="G275" s="117"/>
      <c r="H275" s="117"/>
      <c r="I275" s="40">
        <v>204</v>
      </c>
      <c r="J275" s="40">
        <v>598</v>
      </c>
      <c r="K275" s="118"/>
      <c r="L275" s="119"/>
      <c r="M275" s="110">
        <f>IF(L275="",I275,(MIN(J275,(L275*1.6*J275))))</f>
        <v>204</v>
      </c>
      <c r="N275" s="111">
        <f>IF(M275=0,0,(M275/J275))</f>
        <v>0.34113712374581939</v>
      </c>
    </row>
    <row r="276" spans="2:14">
      <c r="B276" s="73">
        <v>127743</v>
      </c>
      <c r="C276" s="23" t="s">
        <v>7</v>
      </c>
      <c r="D276" s="123">
        <f>SUMIF(B$3:B$3844,B276,M$3:M$3844)/(SUMIF(B$3:B$3844,B276,J$3:J$3844))</f>
        <v>0.63185358674778802</v>
      </c>
      <c r="E276" s="23">
        <v>16033144</v>
      </c>
      <c r="F276" s="46" t="s">
        <v>90</v>
      </c>
      <c r="G276" s="117"/>
      <c r="H276" s="117"/>
      <c r="I276" s="41">
        <v>466</v>
      </c>
      <c r="J276" s="41">
        <v>521</v>
      </c>
      <c r="K276" s="118"/>
      <c r="L276" s="119"/>
      <c r="M276" s="110">
        <f>IF(L276="",I276,(MIN(J276,(L276*1.6*J276))))</f>
        <v>466</v>
      </c>
      <c r="N276" s="111">
        <f>IF(M276=0,0,(M276/J276))</f>
        <v>0.89443378119001915</v>
      </c>
    </row>
    <row r="277" spans="2:14">
      <c r="B277" s="72">
        <v>127743</v>
      </c>
      <c r="C277" s="47" t="s">
        <v>7</v>
      </c>
      <c r="D277" s="123">
        <f>SUMIF(B$3:B$3844,B277,M$3:M$3844)/(SUMIF(B$3:B$3844,B277,J$3:J$3844))</f>
        <v>0.63185358674778802</v>
      </c>
      <c r="E277" s="47">
        <v>36292</v>
      </c>
      <c r="F277" s="48" t="s">
        <v>91</v>
      </c>
      <c r="G277" s="117"/>
      <c r="H277" s="117"/>
      <c r="I277" s="40">
        <v>517</v>
      </c>
      <c r="J277" s="40">
        <v>751</v>
      </c>
      <c r="K277" s="118"/>
      <c r="L277" s="119"/>
      <c r="M277" s="110">
        <f>IF(L277="",I277,(MIN(J277,(L277*1.6*J277))))</f>
        <v>517</v>
      </c>
      <c r="N277" s="111">
        <f>IF(M277=0,0,(M277/J277))</f>
        <v>0.68841544607190408</v>
      </c>
    </row>
    <row r="278" spans="2:14">
      <c r="B278" s="73">
        <v>127743</v>
      </c>
      <c r="C278" s="23" t="s">
        <v>7</v>
      </c>
      <c r="D278" s="123">
        <f>SUMIF(B$3:B$3844,B278,M$3:M$3844)/(SUMIF(B$3:B$3844,B278,J$3:J$3844))</f>
        <v>0.63185358674778802</v>
      </c>
      <c r="E278" s="23">
        <v>36291</v>
      </c>
      <c r="F278" s="46" t="s">
        <v>92</v>
      </c>
      <c r="G278" s="117"/>
      <c r="H278" s="117"/>
      <c r="I278" s="41">
        <v>982</v>
      </c>
      <c r="J278" s="45">
        <v>1066</v>
      </c>
      <c r="K278" s="118"/>
      <c r="L278" s="119"/>
      <c r="M278" s="110">
        <f>IF(L278="",I278,(MIN(J278,(L278*1.6*J278))))</f>
        <v>982</v>
      </c>
      <c r="N278" s="111">
        <f>IF(M278=0,0,(M278/J278))</f>
        <v>0.92120075046904315</v>
      </c>
    </row>
    <row r="279" spans="2:14">
      <c r="B279" s="72">
        <v>127743</v>
      </c>
      <c r="C279" s="47" t="s">
        <v>7</v>
      </c>
      <c r="D279" s="123">
        <f>SUMIF(B$3:B$3844,B279,M$3:M$3844)/(SUMIF(B$3:B$3844,B279,J$3:J$3844))</f>
        <v>0.63185358674778802</v>
      </c>
      <c r="E279" s="47">
        <v>36290</v>
      </c>
      <c r="F279" s="48" t="s">
        <v>93</v>
      </c>
      <c r="G279" s="117"/>
      <c r="H279" s="117"/>
      <c r="I279" s="124">
        <v>1185</v>
      </c>
      <c r="J279" s="124">
        <v>1382</v>
      </c>
      <c r="K279" s="118"/>
      <c r="L279" s="119"/>
      <c r="M279" s="110">
        <f>IF(L279="",I279,(MIN(J279,(L279*1.6*J279))))</f>
        <v>1185</v>
      </c>
      <c r="N279" s="111">
        <f>IF(M279=0,0,(M279/J279))</f>
        <v>0.8574529667149059</v>
      </c>
    </row>
    <row r="280" spans="2:14">
      <c r="B280" s="73">
        <v>127743</v>
      </c>
      <c r="C280" s="23" t="s">
        <v>7</v>
      </c>
      <c r="D280" s="123">
        <f>SUMIF(B$3:B$3844,B280,M$3:M$3844)/(SUMIF(B$3:B$3844,B280,J$3:J$3844))</f>
        <v>0.63185358674778802</v>
      </c>
      <c r="E280" s="23">
        <v>37182</v>
      </c>
      <c r="F280" s="46" t="s">
        <v>94</v>
      </c>
      <c r="G280" s="117"/>
      <c r="H280" s="117"/>
      <c r="I280" s="41">
        <v>183</v>
      </c>
      <c r="J280" s="41">
        <v>448</v>
      </c>
      <c r="K280" s="118"/>
      <c r="L280" s="119"/>
      <c r="M280" s="110">
        <f>IF(L280="",I280,(MIN(J280,(L280*1.6*J280))))</f>
        <v>183</v>
      </c>
      <c r="N280" s="111">
        <f>IF(M280=0,0,(M280/J280))</f>
        <v>0.40848214285714285</v>
      </c>
    </row>
    <row r="281" spans="2:14">
      <c r="B281" s="72">
        <v>127743</v>
      </c>
      <c r="C281" s="47" t="s">
        <v>7</v>
      </c>
      <c r="D281" s="123">
        <f>SUMIF(B$3:B$3844,B281,M$3:M$3844)/(SUMIF(B$3:B$3844,B281,J$3:J$3844))</f>
        <v>0.63185358674778802</v>
      </c>
      <c r="E281" s="47">
        <v>37239</v>
      </c>
      <c r="F281" s="48" t="s">
        <v>95</v>
      </c>
      <c r="G281" s="117"/>
      <c r="H281" s="117"/>
      <c r="I281" s="40">
        <v>234</v>
      </c>
      <c r="J281" s="40">
        <v>857</v>
      </c>
      <c r="K281" s="118"/>
      <c r="L281" s="119"/>
      <c r="M281" s="110">
        <f>IF(L281="",I281,(MIN(J281,(L281*1.6*J281))))</f>
        <v>234</v>
      </c>
      <c r="N281" s="111">
        <f>IF(M281=0,0,(M281/J281))</f>
        <v>0.27304550758459745</v>
      </c>
    </row>
    <row r="282" spans="2:14">
      <c r="B282" s="73">
        <v>127743</v>
      </c>
      <c r="C282" s="23" t="s">
        <v>7</v>
      </c>
      <c r="D282" s="123">
        <f>SUMIF(B$3:B$3844,B282,M$3:M$3844)/(SUMIF(B$3:B$3844,B282,J$3:J$3844))</f>
        <v>0.63185358674778802</v>
      </c>
      <c r="E282" s="23">
        <v>36399</v>
      </c>
      <c r="F282" s="46" t="s">
        <v>96</v>
      </c>
      <c r="G282" s="117"/>
      <c r="H282" s="117"/>
      <c r="I282" s="41">
        <v>300</v>
      </c>
      <c r="J282" s="41">
        <v>343</v>
      </c>
      <c r="K282" s="118"/>
      <c r="L282" s="119"/>
      <c r="M282" s="110">
        <f>IF(L282="",I282,(MIN(J282,(L282*1.6*J282))))</f>
        <v>300</v>
      </c>
      <c r="N282" s="111">
        <f>IF(M282=0,0,(M282/J282))</f>
        <v>0.87463556851311952</v>
      </c>
    </row>
    <row r="283" spans="2:14">
      <c r="B283" s="72">
        <v>127743</v>
      </c>
      <c r="C283" s="47" t="s">
        <v>7</v>
      </c>
      <c r="D283" s="123">
        <f>SUMIF(B$3:B$3844,B283,M$3:M$3844)/(SUMIF(B$3:B$3844,B283,J$3:J$3844))</f>
        <v>0.63185358674778802</v>
      </c>
      <c r="E283" s="47">
        <v>16052334</v>
      </c>
      <c r="F283" s="48" t="s">
        <v>97</v>
      </c>
      <c r="G283" s="117"/>
      <c r="H283" s="117"/>
      <c r="I283" s="40">
        <v>101</v>
      </c>
      <c r="J283" s="124">
        <v>1007</v>
      </c>
      <c r="K283" s="118"/>
      <c r="L283" s="119"/>
      <c r="M283" s="110">
        <f>IF(L283="",I283,(MIN(J283,(L283*1.6*J283))))</f>
        <v>101</v>
      </c>
      <c r="N283" s="111">
        <f>IF(M283=0,0,(M283/J283))</f>
        <v>0.1002979145978153</v>
      </c>
    </row>
    <row r="284" spans="2:14">
      <c r="B284" s="73">
        <v>127743</v>
      </c>
      <c r="C284" s="23" t="s">
        <v>7</v>
      </c>
      <c r="D284" s="123">
        <f>SUMIF(B$3:B$3844,B284,M$3:M$3844)/(SUMIF(B$3:B$3844,B284,J$3:J$3844))</f>
        <v>0.63185358674778802</v>
      </c>
      <c r="E284" s="23">
        <v>36369</v>
      </c>
      <c r="F284" s="46" t="s">
        <v>98</v>
      </c>
      <c r="G284" s="117"/>
      <c r="H284" s="117"/>
      <c r="I284" s="41">
        <v>357</v>
      </c>
      <c r="J284" s="41">
        <v>465</v>
      </c>
      <c r="K284" s="118"/>
      <c r="L284" s="119"/>
      <c r="M284" s="110">
        <f>IF(L284="",I284,(MIN(J284,(L284*1.6*J284))))</f>
        <v>357</v>
      </c>
      <c r="N284" s="111">
        <f>IF(M284=0,0,(M284/J284))</f>
        <v>0.76774193548387093</v>
      </c>
    </row>
    <row r="285" spans="2:14">
      <c r="B285" s="72">
        <v>127743</v>
      </c>
      <c r="C285" s="47" t="s">
        <v>7</v>
      </c>
      <c r="D285" s="123">
        <f>SUMIF(B$3:B$3844,B285,M$3:M$3844)/(SUMIF(B$3:B$3844,B285,J$3:J$3844))</f>
        <v>0.63185358674778802</v>
      </c>
      <c r="E285" s="47">
        <v>36380</v>
      </c>
      <c r="F285" s="48" t="s">
        <v>99</v>
      </c>
      <c r="G285" s="117"/>
      <c r="H285" s="117"/>
      <c r="I285" s="40">
        <v>366</v>
      </c>
      <c r="J285" s="40">
        <v>733</v>
      </c>
      <c r="K285" s="118"/>
      <c r="L285" s="119"/>
      <c r="M285" s="110">
        <f>IF(L285="",I285,(MIN(J285,(L285*1.6*J285))))</f>
        <v>366</v>
      </c>
      <c r="N285" s="111">
        <f>IF(M285=0,0,(M285/J285))</f>
        <v>0.49931787175989084</v>
      </c>
    </row>
    <row r="286" spans="2:14">
      <c r="B286" s="73">
        <v>127743</v>
      </c>
      <c r="C286" s="23" t="s">
        <v>7</v>
      </c>
      <c r="D286" s="123">
        <f>SUMIF(B$3:B$3844,B286,M$3:M$3844)/(SUMIF(B$3:B$3844,B286,J$3:J$3844))</f>
        <v>0.63185358674778802</v>
      </c>
      <c r="E286" s="23">
        <v>36373</v>
      </c>
      <c r="F286" s="46" t="s">
        <v>100</v>
      </c>
      <c r="G286" s="117"/>
      <c r="H286" s="117"/>
      <c r="I286" s="45">
        <v>1434</v>
      </c>
      <c r="J286" s="45">
        <v>1961</v>
      </c>
      <c r="K286" s="118"/>
      <c r="L286" s="119"/>
      <c r="M286" s="110">
        <f>IF(L286="",I286,(MIN(J286,(L286*1.6*J286))))</f>
        <v>1434</v>
      </c>
      <c r="N286" s="111">
        <f>IF(M286=0,0,(M286/J286))</f>
        <v>0.73125956144824067</v>
      </c>
    </row>
    <row r="287" spans="2:14">
      <c r="B287" s="72">
        <v>127743</v>
      </c>
      <c r="C287" s="47" t="s">
        <v>7</v>
      </c>
      <c r="D287" s="123">
        <f>SUMIF(B$3:B$3844,B287,M$3:M$3844)/(SUMIF(B$3:B$3844,B287,J$3:J$3844))</f>
        <v>0.63185358674778802</v>
      </c>
      <c r="E287" s="47">
        <v>36414</v>
      </c>
      <c r="F287" s="48" t="s">
        <v>101</v>
      </c>
      <c r="G287" s="117"/>
      <c r="H287" s="117"/>
      <c r="I287" s="40">
        <v>456</v>
      </c>
      <c r="J287" s="40">
        <v>512</v>
      </c>
      <c r="K287" s="118"/>
      <c r="L287" s="119"/>
      <c r="M287" s="110">
        <f>IF(L287="",I287,(MIN(J287,(L287*1.6*J287))))</f>
        <v>456</v>
      </c>
      <c r="N287" s="111">
        <f>IF(M287=0,0,(M287/J287))</f>
        <v>0.890625</v>
      </c>
    </row>
    <row r="288" spans="2:14">
      <c r="B288" s="73">
        <v>127743</v>
      </c>
      <c r="C288" s="23" t="s">
        <v>7</v>
      </c>
      <c r="D288" s="123">
        <f>SUMIF(B$3:B$3844,B288,M$3:M$3844)/(SUMIF(B$3:B$3844,B288,J$3:J$3844))</f>
        <v>0.63185358674778802</v>
      </c>
      <c r="E288" s="23">
        <v>37202</v>
      </c>
      <c r="F288" s="46" t="s">
        <v>102</v>
      </c>
      <c r="G288" s="117"/>
      <c r="H288" s="117"/>
      <c r="I288" s="41">
        <v>444</v>
      </c>
      <c r="J288" s="41">
        <v>552</v>
      </c>
      <c r="K288" s="118"/>
      <c r="L288" s="119"/>
      <c r="M288" s="110">
        <f>IF(L288="",I288,(MIN(J288,(L288*1.6*J288))))</f>
        <v>444</v>
      </c>
      <c r="N288" s="111">
        <f>IF(M288=0,0,(M288/J288))</f>
        <v>0.80434782608695654</v>
      </c>
    </row>
    <row r="289" spans="2:14">
      <c r="B289" s="72">
        <v>127743</v>
      </c>
      <c r="C289" s="47" t="s">
        <v>7</v>
      </c>
      <c r="D289" s="123">
        <f>SUMIF(B$3:B$3844,B289,M$3:M$3844)/(SUMIF(B$3:B$3844,B289,J$3:J$3844))</f>
        <v>0.63185358674778802</v>
      </c>
      <c r="E289" s="47">
        <v>37210</v>
      </c>
      <c r="F289" s="48" t="s">
        <v>103</v>
      </c>
      <c r="G289" s="117"/>
      <c r="H289" s="117"/>
      <c r="I289" s="40">
        <v>680</v>
      </c>
      <c r="J289" s="124">
        <v>1787</v>
      </c>
      <c r="K289" s="118"/>
      <c r="L289" s="119"/>
      <c r="M289" s="110">
        <f>IF(L289="",I289,(MIN(J289,(L289*1.6*J289))))</f>
        <v>680</v>
      </c>
      <c r="N289" s="111">
        <f>IF(M289=0,0,(M289/J289))</f>
        <v>0.38052602126468943</v>
      </c>
    </row>
    <row r="290" spans="2:14">
      <c r="B290" s="73">
        <v>127743</v>
      </c>
      <c r="C290" s="23" t="s">
        <v>7</v>
      </c>
      <c r="D290" s="123">
        <f>SUMIF(B$3:B$3844,B290,M$3:M$3844)/(SUMIF(B$3:B$3844,B290,J$3:J$3844))</f>
        <v>0.63185358674778802</v>
      </c>
      <c r="E290" s="23">
        <v>37222</v>
      </c>
      <c r="F290" s="46" t="s">
        <v>104</v>
      </c>
      <c r="G290" s="117"/>
      <c r="H290" s="117"/>
      <c r="I290" s="41">
        <v>181</v>
      </c>
      <c r="J290" s="41">
        <v>747</v>
      </c>
      <c r="K290" s="118"/>
      <c r="L290" s="119"/>
      <c r="M290" s="110">
        <f>IF(L290="",I290,(MIN(J290,(L290*1.6*J290))))</f>
        <v>181</v>
      </c>
      <c r="N290" s="111">
        <f>IF(M290=0,0,(M290/J290))</f>
        <v>0.24230254350736277</v>
      </c>
    </row>
    <row r="291" spans="2:14">
      <c r="B291" s="72">
        <v>127743</v>
      </c>
      <c r="C291" s="47" t="s">
        <v>7</v>
      </c>
      <c r="D291" s="123">
        <f>SUMIF(B$3:B$3844,B291,M$3:M$3844)/(SUMIF(B$3:B$3844,B291,J$3:J$3844))</f>
        <v>0.63185358674778802</v>
      </c>
      <c r="E291" s="47">
        <v>36606</v>
      </c>
      <c r="F291" s="48" t="s">
        <v>105</v>
      </c>
      <c r="G291" s="117"/>
      <c r="H291" s="117"/>
      <c r="I291" s="124">
        <v>1724</v>
      </c>
      <c r="J291" s="124">
        <v>3118</v>
      </c>
      <c r="K291" s="118"/>
      <c r="L291" s="119"/>
      <c r="M291" s="110">
        <f>IF(L291="",I291,(MIN(J291,(L291*1.6*J291))))</f>
        <v>1724</v>
      </c>
      <c r="N291" s="111">
        <f>IF(M291=0,0,(M291/J291))</f>
        <v>0.55291853752405384</v>
      </c>
    </row>
    <row r="292" spans="2:14">
      <c r="B292" s="73">
        <v>127743</v>
      </c>
      <c r="C292" s="23" t="s">
        <v>7</v>
      </c>
      <c r="D292" s="123">
        <f>SUMIF(B$3:B$3844,B292,M$3:M$3844)/(SUMIF(B$3:B$3844,B292,J$3:J$3844))</f>
        <v>0.63185358674778802</v>
      </c>
      <c r="E292" s="23">
        <v>36568</v>
      </c>
      <c r="F292" s="46" t="s">
        <v>106</v>
      </c>
      <c r="G292" s="117"/>
      <c r="H292" s="117"/>
      <c r="I292" s="41">
        <v>637</v>
      </c>
      <c r="J292" s="41">
        <v>715</v>
      </c>
      <c r="K292" s="118"/>
      <c r="L292" s="119"/>
      <c r="M292" s="110">
        <f>IF(L292="",I292,(MIN(J292,(L292*1.6*J292))))</f>
        <v>637</v>
      </c>
      <c r="N292" s="111">
        <f>IF(M292=0,0,(M292/J292))</f>
        <v>0.89090909090909087</v>
      </c>
    </row>
    <row r="293" spans="2:14">
      <c r="B293" s="72">
        <v>127743</v>
      </c>
      <c r="C293" s="47" t="s">
        <v>7</v>
      </c>
      <c r="D293" s="123">
        <f>SUMIF(B$3:B$3844,B293,M$3:M$3844)/(SUMIF(B$3:B$3844,B293,J$3:J$3844))</f>
        <v>0.63185358674778802</v>
      </c>
      <c r="E293" s="47">
        <v>37245</v>
      </c>
      <c r="F293" s="48" t="s">
        <v>107</v>
      </c>
      <c r="G293" s="117"/>
      <c r="H293" s="117"/>
      <c r="I293" s="40">
        <v>797</v>
      </c>
      <c r="J293" s="40">
        <v>944</v>
      </c>
      <c r="K293" s="118"/>
      <c r="L293" s="119"/>
      <c r="M293" s="110">
        <f>IF(L293="",I293,(MIN(J293,(L293*1.6*J293))))</f>
        <v>797</v>
      </c>
      <c r="N293" s="111">
        <f>IF(M293=0,0,(M293/J293))</f>
        <v>0.84427966101694918</v>
      </c>
    </row>
    <row r="294" spans="2:14">
      <c r="B294" s="73">
        <v>127743</v>
      </c>
      <c r="C294" s="23" t="s">
        <v>7</v>
      </c>
      <c r="D294" s="123">
        <f>SUMIF(B$3:B$3844,B294,M$3:M$3844)/(SUMIF(B$3:B$3844,B294,J$3:J$3844))</f>
        <v>0.63185358674778802</v>
      </c>
      <c r="E294" s="23">
        <v>224985</v>
      </c>
      <c r="F294" s="46" t="s">
        <v>108</v>
      </c>
      <c r="G294" s="117"/>
      <c r="H294" s="117"/>
      <c r="I294" s="41"/>
      <c r="J294" s="41" t="s">
        <v>264</v>
      </c>
      <c r="K294" s="118"/>
      <c r="L294" s="119"/>
      <c r="M294" s="110">
        <f>IF(L294="",I294,(MIN(J294,(L294*1.6*J294))))</f>
        <v>0</v>
      </c>
      <c r="N294" s="111">
        <f>IF(M294=0,0,(M294/J294))</f>
        <v>0</v>
      </c>
    </row>
    <row r="295" spans="2:14">
      <c r="B295" s="72">
        <v>127743</v>
      </c>
      <c r="C295" s="47" t="s">
        <v>7</v>
      </c>
      <c r="D295" s="123">
        <f>SUMIF(B$3:B$3844,B295,M$3:M$3844)/(SUMIF(B$3:B$3844,B295,J$3:J$3844))</f>
        <v>0.63185358674778802</v>
      </c>
      <c r="E295" s="47">
        <v>36396</v>
      </c>
      <c r="F295" s="48" t="s">
        <v>109</v>
      </c>
      <c r="G295" s="117"/>
      <c r="H295" s="117"/>
      <c r="I295" s="40">
        <v>706</v>
      </c>
      <c r="J295" s="40">
        <v>732</v>
      </c>
      <c r="K295" s="118"/>
      <c r="L295" s="119"/>
      <c r="M295" s="110">
        <f>IF(L295="",I295,(MIN(J295,(L295*1.6*J295))))</f>
        <v>706</v>
      </c>
      <c r="N295" s="111">
        <f>IF(M295=0,0,(M295/J295))</f>
        <v>0.96448087431693985</v>
      </c>
    </row>
    <row r="296" spans="2:14">
      <c r="B296" s="73">
        <v>127743</v>
      </c>
      <c r="C296" s="23" t="s">
        <v>7</v>
      </c>
      <c r="D296" s="123">
        <f>SUMIF(B$3:B$3844,B296,M$3:M$3844)/(SUMIF(B$3:B$3844,B296,J$3:J$3844))</f>
        <v>0.63185358674778802</v>
      </c>
      <c r="E296" s="23">
        <v>207874</v>
      </c>
      <c r="F296" s="46" t="s">
        <v>110</v>
      </c>
      <c r="G296" s="117"/>
      <c r="H296" s="117"/>
      <c r="I296" s="41">
        <v>377</v>
      </c>
      <c r="J296" s="41">
        <v>766</v>
      </c>
      <c r="K296" s="118"/>
      <c r="L296" s="119"/>
      <c r="M296" s="110">
        <f>IF(L296="",I296,(MIN(J296,(L296*1.6*J296))))</f>
        <v>377</v>
      </c>
      <c r="N296" s="111">
        <f>IF(M296=0,0,(M296/J296))</f>
        <v>0.49216710182767626</v>
      </c>
    </row>
    <row r="297" spans="2:14">
      <c r="B297" s="72">
        <v>127743</v>
      </c>
      <c r="C297" s="47" t="s">
        <v>7</v>
      </c>
      <c r="D297" s="123">
        <f>SUMIF(B$3:B$3844,B297,M$3:M$3844)/(SUMIF(B$3:B$3844,B297,J$3:J$3844))</f>
        <v>0.63185358674778802</v>
      </c>
      <c r="E297" s="47">
        <v>36289</v>
      </c>
      <c r="F297" s="48" t="s">
        <v>111</v>
      </c>
      <c r="G297" s="117"/>
      <c r="H297" s="117"/>
      <c r="I297" s="40">
        <v>66</v>
      </c>
      <c r="J297" s="40">
        <v>76</v>
      </c>
      <c r="K297" s="118"/>
      <c r="L297" s="119"/>
      <c r="M297" s="110">
        <f>IF(L297="",I297,(MIN(J297,(L297*1.6*J297))))</f>
        <v>66</v>
      </c>
      <c r="N297" s="111">
        <f>IF(M297=0,0,(M297/J297))</f>
        <v>0.86842105263157898</v>
      </c>
    </row>
    <row r="298" spans="2:14">
      <c r="B298" s="73">
        <v>127743</v>
      </c>
      <c r="C298" s="23" t="s">
        <v>7</v>
      </c>
      <c r="D298" s="123">
        <f>SUMIF(B$3:B$3844,B298,M$3:M$3844)/(SUMIF(B$3:B$3844,B298,J$3:J$3844))</f>
        <v>0.63185358674778802</v>
      </c>
      <c r="E298" s="23">
        <v>37120</v>
      </c>
      <c r="F298" s="46" t="s">
        <v>112</v>
      </c>
      <c r="G298" s="117"/>
      <c r="H298" s="117"/>
      <c r="I298" s="41">
        <v>372</v>
      </c>
      <c r="J298" s="41">
        <v>387</v>
      </c>
      <c r="K298" s="118"/>
      <c r="L298" s="119"/>
      <c r="M298" s="110">
        <f>IF(L298="",I298,(MIN(J298,(L298*1.6*J298))))</f>
        <v>372</v>
      </c>
      <c r="N298" s="111">
        <f>IF(M298=0,0,(M298/J298))</f>
        <v>0.96124031007751942</v>
      </c>
    </row>
    <row r="299" spans="2:14">
      <c r="B299" s="72">
        <v>127743</v>
      </c>
      <c r="C299" s="47" t="s">
        <v>7</v>
      </c>
      <c r="D299" s="123">
        <f>SUMIF(B$3:B$3844,B299,M$3:M$3844)/(SUMIF(B$3:B$3844,B299,J$3:J$3844))</f>
        <v>0.63185358674778802</v>
      </c>
      <c r="E299" s="47">
        <v>37103</v>
      </c>
      <c r="F299" s="48" t="s">
        <v>113</v>
      </c>
      <c r="G299" s="117"/>
      <c r="H299" s="117"/>
      <c r="I299" s="40">
        <v>808</v>
      </c>
      <c r="J299" s="40">
        <v>884</v>
      </c>
      <c r="K299" s="118"/>
      <c r="L299" s="119"/>
      <c r="M299" s="110">
        <f>IF(L299="",I299,(MIN(J299,(L299*1.6*J299))))</f>
        <v>808</v>
      </c>
      <c r="N299" s="111">
        <f>IF(M299=0,0,(M299/J299))</f>
        <v>0.91402714932126694</v>
      </c>
    </row>
    <row r="300" spans="2:14" ht="30">
      <c r="B300" s="73">
        <v>127743</v>
      </c>
      <c r="C300" s="23" t="s">
        <v>7</v>
      </c>
      <c r="D300" s="123">
        <f>SUMIF(B$3:B$3844,B300,M$3:M$3844)/(SUMIF(B$3:B$3844,B300,J$3:J$3844))</f>
        <v>0.63185358674778802</v>
      </c>
      <c r="E300" s="23">
        <v>16075723</v>
      </c>
      <c r="F300" s="46" t="s">
        <v>114</v>
      </c>
      <c r="G300" s="117"/>
      <c r="H300" s="117"/>
      <c r="I300" s="41"/>
      <c r="J300" s="41" t="s">
        <v>264</v>
      </c>
      <c r="K300" s="118"/>
      <c r="L300" s="119"/>
      <c r="M300" s="110">
        <f>IF(L300="",I300,(MIN(J300,(L300*1.6*J300))))</f>
        <v>0</v>
      </c>
      <c r="N300" s="111">
        <f>IF(M300=0,0,(M300/J300))</f>
        <v>0</v>
      </c>
    </row>
    <row r="301" spans="2:14">
      <c r="B301" s="72">
        <v>127743</v>
      </c>
      <c r="C301" s="47" t="s">
        <v>7</v>
      </c>
      <c r="D301" s="123">
        <f>SUMIF(B$3:B$3844,B301,M$3:M$3844)/(SUMIF(B$3:B$3844,B301,J$3:J$3844))</f>
        <v>0.63185358674778802</v>
      </c>
      <c r="E301" s="47">
        <v>37152</v>
      </c>
      <c r="F301" s="48" t="s">
        <v>115</v>
      </c>
      <c r="G301" s="117"/>
      <c r="H301" s="117"/>
      <c r="I301" s="40">
        <v>674</v>
      </c>
      <c r="J301" s="40">
        <v>727</v>
      </c>
      <c r="K301" s="118"/>
      <c r="L301" s="119"/>
      <c r="M301" s="110">
        <f>IF(L301="",I301,(MIN(J301,(L301*1.6*J301))))</f>
        <v>674</v>
      </c>
      <c r="N301" s="111">
        <f>IF(M301=0,0,(M301/J301))</f>
        <v>0.92709766162310869</v>
      </c>
    </row>
    <row r="302" spans="2:14">
      <c r="B302" s="73">
        <v>127743</v>
      </c>
      <c r="C302" s="23" t="s">
        <v>7</v>
      </c>
      <c r="D302" s="123">
        <f>SUMIF(B$3:B$3844,B302,M$3:M$3844)/(SUMIF(B$3:B$3844,B302,J$3:J$3844))</f>
        <v>0.63185358674778802</v>
      </c>
      <c r="E302" s="23">
        <v>37158</v>
      </c>
      <c r="F302" s="46" t="s">
        <v>116</v>
      </c>
      <c r="G302" s="117"/>
      <c r="H302" s="117"/>
      <c r="I302" s="41">
        <v>696</v>
      </c>
      <c r="J302" s="41">
        <v>733</v>
      </c>
      <c r="K302" s="118"/>
      <c r="L302" s="119"/>
      <c r="M302" s="110">
        <f>IF(L302="",I302,(MIN(J302,(L302*1.6*J302))))</f>
        <v>696</v>
      </c>
      <c r="N302" s="111">
        <f>IF(M302=0,0,(M302/J302))</f>
        <v>0.94952251023192358</v>
      </c>
    </row>
    <row r="303" spans="2:14">
      <c r="B303" s="72">
        <v>127743</v>
      </c>
      <c r="C303" s="47" t="s">
        <v>7</v>
      </c>
      <c r="D303" s="123">
        <f>SUMIF(B$3:B$3844,B303,M$3:M$3844)/(SUMIF(B$3:B$3844,B303,J$3:J$3844))</f>
        <v>0.63185358674778802</v>
      </c>
      <c r="E303" s="47">
        <v>227234</v>
      </c>
      <c r="F303" s="48" t="s">
        <v>117</v>
      </c>
      <c r="G303" s="117"/>
      <c r="H303" s="117"/>
      <c r="I303" s="40">
        <v>851</v>
      </c>
      <c r="J303" s="124">
        <v>1061</v>
      </c>
      <c r="K303" s="118"/>
      <c r="L303" s="119"/>
      <c r="M303" s="110">
        <f>IF(L303="",I303,(MIN(J303,(L303*1.6*J303))))</f>
        <v>851</v>
      </c>
      <c r="N303" s="111">
        <f>IF(M303=0,0,(M303/J303))</f>
        <v>0.80207351555136663</v>
      </c>
    </row>
    <row r="304" spans="2:14">
      <c r="B304" s="73">
        <v>127743</v>
      </c>
      <c r="C304" s="23" t="s">
        <v>7</v>
      </c>
      <c r="D304" s="123">
        <f>SUMIF(B$3:B$3844,B304,M$3:M$3844)/(SUMIF(B$3:B$3844,B304,J$3:J$3844))</f>
        <v>0.63185358674778802</v>
      </c>
      <c r="E304" s="23">
        <v>37106</v>
      </c>
      <c r="F304" s="46" t="s">
        <v>118</v>
      </c>
      <c r="G304" s="117"/>
      <c r="H304" s="117"/>
      <c r="I304" s="41">
        <v>582</v>
      </c>
      <c r="J304" s="41">
        <v>603</v>
      </c>
      <c r="K304" s="118"/>
      <c r="L304" s="119"/>
      <c r="M304" s="110">
        <f>IF(L304="",I304,(MIN(J304,(L304*1.6*J304))))</f>
        <v>582</v>
      </c>
      <c r="N304" s="111">
        <f>IF(M304=0,0,(M304/J304))</f>
        <v>0.96517412935323388</v>
      </c>
    </row>
    <row r="305" spans="2:14">
      <c r="B305" s="72">
        <v>127743</v>
      </c>
      <c r="C305" s="47" t="s">
        <v>7</v>
      </c>
      <c r="D305" s="123">
        <f>SUMIF(B$3:B$3844,B305,M$3:M$3844)/(SUMIF(B$3:B$3844,B305,J$3:J$3844))</f>
        <v>0.63185358674778802</v>
      </c>
      <c r="E305" s="47">
        <v>207991</v>
      </c>
      <c r="F305" s="48" t="s">
        <v>119</v>
      </c>
      <c r="G305" s="117"/>
      <c r="H305" s="117"/>
      <c r="I305" s="124">
        <v>1046</v>
      </c>
      <c r="J305" s="124">
        <v>1892</v>
      </c>
      <c r="K305" s="118"/>
      <c r="L305" s="119"/>
      <c r="M305" s="110">
        <f>IF(L305="",I305,(MIN(J305,(L305*1.6*J305))))</f>
        <v>1046</v>
      </c>
      <c r="N305" s="111">
        <f>IF(M305=0,0,(M305/J305))</f>
        <v>0.55285412262156453</v>
      </c>
    </row>
    <row r="306" spans="2:14">
      <c r="B306" s="73">
        <v>127743</v>
      </c>
      <c r="C306" s="23" t="s">
        <v>7</v>
      </c>
      <c r="D306" s="123">
        <f>SUMIF(B$3:B$3844,B306,M$3:M$3844)/(SUMIF(B$3:B$3844,B306,J$3:J$3844))</f>
        <v>0.63185358674778802</v>
      </c>
      <c r="E306" s="23">
        <v>227236</v>
      </c>
      <c r="F306" s="46" t="s">
        <v>120</v>
      </c>
      <c r="G306" s="117"/>
      <c r="H306" s="117"/>
      <c r="I306" s="41">
        <v>204</v>
      </c>
      <c r="J306" s="45">
        <v>1181</v>
      </c>
      <c r="K306" s="118"/>
      <c r="L306" s="119"/>
      <c r="M306" s="110">
        <f>IF(L306="",I306,(MIN(J306,(L306*1.6*J306))))</f>
        <v>204</v>
      </c>
      <c r="N306" s="111">
        <f>IF(M306=0,0,(M306/J306))</f>
        <v>0.17273497036409821</v>
      </c>
    </row>
    <row r="307" spans="2:14">
      <c r="B307" s="72">
        <v>127743</v>
      </c>
      <c r="C307" s="47" t="s">
        <v>7</v>
      </c>
      <c r="D307" s="123">
        <f>SUMIF(B$3:B$3844,B307,M$3:M$3844)/(SUMIF(B$3:B$3844,B307,J$3:J$3844))</f>
        <v>0.63185358674778802</v>
      </c>
      <c r="E307" s="47">
        <v>36601</v>
      </c>
      <c r="F307" s="48" t="s">
        <v>121</v>
      </c>
      <c r="G307" s="117"/>
      <c r="H307" s="117"/>
      <c r="I307" s="40">
        <v>457</v>
      </c>
      <c r="J307" s="40">
        <v>766</v>
      </c>
      <c r="K307" s="118"/>
      <c r="L307" s="119"/>
      <c r="M307" s="110">
        <f>IF(L307="",I307,(MIN(J307,(L307*1.6*J307))))</f>
        <v>457</v>
      </c>
      <c r="N307" s="111">
        <f>IF(M307=0,0,(M307/J307))</f>
        <v>0.59660574412532641</v>
      </c>
    </row>
    <row r="308" spans="2:14">
      <c r="B308" s="73">
        <v>127743</v>
      </c>
      <c r="C308" s="23" t="s">
        <v>7</v>
      </c>
      <c r="D308" s="123">
        <f>SUMIF(B$3:B$3844,B308,M$3:M$3844)/(SUMIF(B$3:B$3844,B308,J$3:J$3844))</f>
        <v>0.63185358674778802</v>
      </c>
      <c r="E308" s="23">
        <v>36542</v>
      </c>
      <c r="F308" s="46" t="s">
        <v>122</v>
      </c>
      <c r="G308" s="117"/>
      <c r="H308" s="117"/>
      <c r="I308" s="41">
        <v>707</v>
      </c>
      <c r="J308" s="45">
        <v>1023</v>
      </c>
      <c r="K308" s="118"/>
      <c r="L308" s="119"/>
      <c r="M308" s="110">
        <f>IF(L308="",I308,(MIN(J308,(L308*1.6*J308))))</f>
        <v>707</v>
      </c>
      <c r="N308" s="111">
        <f>IF(M308=0,0,(M308/J308))</f>
        <v>0.69110459433040083</v>
      </c>
    </row>
    <row r="309" spans="2:14">
      <c r="B309" s="72">
        <v>127743</v>
      </c>
      <c r="C309" s="47" t="s">
        <v>7</v>
      </c>
      <c r="D309" s="123">
        <f>SUMIF(B$3:B$3844,B309,M$3:M$3844)/(SUMIF(B$3:B$3844,B309,J$3:J$3844))</f>
        <v>0.63185358674778802</v>
      </c>
      <c r="E309" s="47">
        <v>36547</v>
      </c>
      <c r="F309" s="48" t="s">
        <v>123</v>
      </c>
      <c r="G309" s="117"/>
      <c r="H309" s="117"/>
      <c r="I309" s="124">
        <v>1016</v>
      </c>
      <c r="J309" s="124">
        <v>1235</v>
      </c>
      <c r="K309" s="118"/>
      <c r="L309" s="119"/>
      <c r="M309" s="110">
        <f>IF(L309="",I309,(MIN(J309,(L309*1.6*J309))))</f>
        <v>1016</v>
      </c>
      <c r="N309" s="111">
        <f>IF(M309=0,0,(M309/J309))</f>
        <v>0.8226720647773279</v>
      </c>
    </row>
    <row r="310" spans="2:14">
      <c r="B310" s="73">
        <v>127743</v>
      </c>
      <c r="C310" s="23" t="s">
        <v>7</v>
      </c>
      <c r="D310" s="123">
        <f>SUMIF(B$3:B$3844,B310,M$3:M$3844)/(SUMIF(B$3:B$3844,B310,J$3:J$3844))</f>
        <v>0.63185358674778802</v>
      </c>
      <c r="E310" s="23">
        <v>36611</v>
      </c>
      <c r="F310" s="46" t="s">
        <v>124</v>
      </c>
      <c r="G310" s="117"/>
      <c r="H310" s="117"/>
      <c r="I310" s="41">
        <v>717</v>
      </c>
      <c r="J310" s="45">
        <v>3155</v>
      </c>
      <c r="K310" s="118"/>
      <c r="L310" s="119"/>
      <c r="M310" s="110">
        <f>IF(L310="",I310,(MIN(J310,(L310*1.6*J310))))</f>
        <v>717</v>
      </c>
      <c r="N310" s="111">
        <f>IF(M310=0,0,(M310/J310))</f>
        <v>0.22725832012678288</v>
      </c>
    </row>
    <row r="311" spans="2:14">
      <c r="B311" s="72">
        <v>127743</v>
      </c>
      <c r="C311" s="47" t="s">
        <v>7</v>
      </c>
      <c r="D311" s="123">
        <f>SUMIF(B$3:B$3844,B311,M$3:M$3844)/(SUMIF(B$3:B$3844,B311,J$3:J$3844))</f>
        <v>0.63185358674778802</v>
      </c>
      <c r="E311" s="47">
        <v>37129</v>
      </c>
      <c r="F311" s="48" t="s">
        <v>125</v>
      </c>
      <c r="G311" s="117"/>
      <c r="H311" s="117"/>
      <c r="I311" s="40">
        <v>404</v>
      </c>
      <c r="J311" s="40">
        <v>416</v>
      </c>
      <c r="K311" s="118"/>
      <c r="L311" s="119"/>
      <c r="M311" s="110">
        <f>IF(L311="",I311,(MIN(J311,(L311*1.6*J311))))</f>
        <v>404</v>
      </c>
      <c r="N311" s="111">
        <f>IF(M311=0,0,(M311/J311))</f>
        <v>0.97115384615384615</v>
      </c>
    </row>
    <row r="312" spans="2:14">
      <c r="B312" s="73">
        <v>127743</v>
      </c>
      <c r="C312" s="23" t="s">
        <v>7</v>
      </c>
      <c r="D312" s="123">
        <f>SUMIF(B$3:B$3844,B312,M$3:M$3844)/(SUMIF(B$3:B$3844,B312,J$3:J$3844))</f>
        <v>0.63185358674778802</v>
      </c>
      <c r="E312" s="23">
        <v>36419</v>
      </c>
      <c r="F312" s="46" t="s">
        <v>126</v>
      </c>
      <c r="G312" s="117"/>
      <c r="H312" s="117"/>
      <c r="I312" s="45">
        <v>1632</v>
      </c>
      <c r="J312" s="45">
        <v>2217</v>
      </c>
      <c r="K312" s="118"/>
      <c r="L312" s="119"/>
      <c r="M312" s="110">
        <f>IF(L312="",I312,(MIN(J312,(L312*1.6*J312))))</f>
        <v>1632</v>
      </c>
      <c r="N312" s="111">
        <f>IF(M312=0,0,(M312/J312))</f>
        <v>0.73612990527740185</v>
      </c>
    </row>
    <row r="313" spans="2:14">
      <c r="B313" s="72">
        <v>127743</v>
      </c>
      <c r="C313" s="47" t="s">
        <v>7</v>
      </c>
      <c r="D313" s="123">
        <f>SUMIF(B$3:B$3844,B313,M$3:M$3844)/(SUMIF(B$3:B$3844,B313,J$3:J$3844))</f>
        <v>0.63185358674778802</v>
      </c>
      <c r="E313" s="47">
        <v>36537</v>
      </c>
      <c r="F313" s="48" t="s">
        <v>127</v>
      </c>
      <c r="G313" s="117"/>
      <c r="H313" s="117"/>
      <c r="I313" s="40">
        <v>346</v>
      </c>
      <c r="J313" s="40">
        <v>609</v>
      </c>
      <c r="K313" s="118"/>
      <c r="L313" s="119"/>
      <c r="M313" s="110">
        <f>IF(L313="",I313,(MIN(J313,(L313*1.6*J313))))</f>
        <v>346</v>
      </c>
      <c r="N313" s="111">
        <f>IF(M313=0,0,(M313/J313))</f>
        <v>0.56814449917898191</v>
      </c>
    </row>
    <row r="314" spans="2:14">
      <c r="B314" s="73">
        <v>127743</v>
      </c>
      <c r="C314" s="23" t="s">
        <v>7</v>
      </c>
      <c r="D314" s="123">
        <f>SUMIF(B$3:B$3844,B314,M$3:M$3844)/(SUMIF(B$3:B$3844,B314,J$3:J$3844))</f>
        <v>0.63185358674778802</v>
      </c>
      <c r="E314" s="23">
        <v>36370</v>
      </c>
      <c r="F314" s="46" t="s">
        <v>128</v>
      </c>
      <c r="G314" s="117"/>
      <c r="H314" s="117"/>
      <c r="I314" s="41">
        <v>753</v>
      </c>
      <c r="J314" s="41">
        <v>833</v>
      </c>
      <c r="K314" s="118"/>
      <c r="L314" s="119"/>
      <c r="M314" s="110">
        <f>IF(L314="",I314,(MIN(J314,(L314*1.6*J314))))</f>
        <v>753</v>
      </c>
      <c r="N314" s="111">
        <f>IF(M314=0,0,(M314/J314))</f>
        <v>0.90396158463385357</v>
      </c>
    </row>
    <row r="315" spans="2:14">
      <c r="B315" s="72">
        <v>127743</v>
      </c>
      <c r="C315" s="47" t="s">
        <v>7</v>
      </c>
      <c r="D315" s="123">
        <f>SUMIF(B$3:B$3844,B315,M$3:M$3844)/(SUMIF(B$3:B$3844,B315,J$3:J$3844))</f>
        <v>0.63185358674778802</v>
      </c>
      <c r="E315" s="47">
        <v>37192</v>
      </c>
      <c r="F315" s="48" t="s">
        <v>129</v>
      </c>
      <c r="G315" s="117"/>
      <c r="H315" s="117"/>
      <c r="I315" s="40">
        <v>663</v>
      </c>
      <c r="J315" s="40">
        <v>721</v>
      </c>
      <c r="K315" s="118"/>
      <c r="L315" s="119"/>
      <c r="M315" s="110">
        <f>IF(L315="",I315,(MIN(J315,(L315*1.6*J315))))</f>
        <v>663</v>
      </c>
      <c r="N315" s="111">
        <f>IF(M315=0,0,(M315/J315))</f>
        <v>0.91955617198335649</v>
      </c>
    </row>
    <row r="316" spans="2:14">
      <c r="B316" s="73">
        <v>127743</v>
      </c>
      <c r="C316" s="23" t="s">
        <v>7</v>
      </c>
      <c r="D316" s="123">
        <f>SUMIF(B$3:B$3844,B316,M$3:M$3844)/(SUMIF(B$3:B$3844,B316,J$3:J$3844))</f>
        <v>0.63185358674778802</v>
      </c>
      <c r="E316" s="23">
        <v>232468</v>
      </c>
      <c r="F316" s="46" t="s">
        <v>130</v>
      </c>
      <c r="G316" s="117"/>
      <c r="H316" s="117"/>
      <c r="I316" s="45">
        <v>1118</v>
      </c>
      <c r="J316" s="45">
        <v>1501</v>
      </c>
      <c r="K316" s="118"/>
      <c r="L316" s="119"/>
      <c r="M316" s="110">
        <f>IF(L316="",I316,(MIN(J316,(L316*1.6*J316))))</f>
        <v>1118</v>
      </c>
      <c r="N316" s="111">
        <f>IF(M316=0,0,(M316/J316))</f>
        <v>0.7448367754830113</v>
      </c>
    </row>
    <row r="317" spans="2:14">
      <c r="B317" s="72">
        <v>127743</v>
      </c>
      <c r="C317" s="47" t="s">
        <v>7</v>
      </c>
      <c r="D317" s="123">
        <f>SUMIF(B$3:B$3844,B317,M$3:M$3844)/(SUMIF(B$3:B$3844,B317,J$3:J$3844))</f>
        <v>0.63185358674778802</v>
      </c>
      <c r="E317" s="47">
        <v>36388</v>
      </c>
      <c r="F317" s="48" t="s">
        <v>131</v>
      </c>
      <c r="G317" s="117"/>
      <c r="H317" s="117"/>
      <c r="I317" s="40">
        <v>676</v>
      </c>
      <c r="J317" s="40">
        <v>753</v>
      </c>
      <c r="K317" s="118"/>
      <c r="L317" s="119"/>
      <c r="M317" s="110">
        <f>IF(L317="",I317,(MIN(J317,(L317*1.6*J317))))</f>
        <v>676</v>
      </c>
      <c r="N317" s="111">
        <f>IF(M317=0,0,(M317/J317))</f>
        <v>0.89774236387782202</v>
      </c>
    </row>
    <row r="318" spans="2:14">
      <c r="B318" s="73">
        <v>127743</v>
      </c>
      <c r="C318" s="23" t="s">
        <v>7</v>
      </c>
      <c r="D318" s="123">
        <f>SUMIF(B$3:B$3844,B318,M$3:M$3844)/(SUMIF(B$3:B$3844,B318,J$3:J$3844))</f>
        <v>0.63185358674778802</v>
      </c>
      <c r="E318" s="23">
        <v>36425</v>
      </c>
      <c r="F318" s="46" t="s">
        <v>132</v>
      </c>
      <c r="G318" s="117"/>
      <c r="H318" s="117"/>
      <c r="I318" s="45">
        <v>1912</v>
      </c>
      <c r="J318" s="45">
        <v>2598</v>
      </c>
      <c r="K318" s="118"/>
      <c r="L318" s="119"/>
      <c r="M318" s="110">
        <f>IF(L318="",I318,(MIN(J318,(L318*1.6*J318))))</f>
        <v>1912</v>
      </c>
      <c r="N318" s="111">
        <f>IF(M318=0,0,(M318/J318))</f>
        <v>0.73595073133179367</v>
      </c>
    </row>
    <row r="319" spans="2:14">
      <c r="B319" s="72">
        <v>127743</v>
      </c>
      <c r="C319" s="47" t="s">
        <v>7</v>
      </c>
      <c r="D319" s="123">
        <f>SUMIF(B$3:B$3844,B319,M$3:M$3844)/(SUMIF(B$3:B$3844,B319,J$3:J$3844))</f>
        <v>0.63185358674778802</v>
      </c>
      <c r="E319" s="47">
        <v>37163</v>
      </c>
      <c r="F319" s="48" t="s">
        <v>133</v>
      </c>
      <c r="G319" s="117"/>
      <c r="H319" s="117"/>
      <c r="I319" s="40">
        <v>452</v>
      </c>
      <c r="J319" s="40">
        <v>618</v>
      </c>
      <c r="K319" s="118"/>
      <c r="L319" s="119"/>
      <c r="M319" s="110">
        <f>IF(L319="",I319,(MIN(J319,(L319*1.6*J319))))</f>
        <v>452</v>
      </c>
      <c r="N319" s="111">
        <f>IF(M319=0,0,(M319/J319))</f>
        <v>0.73139158576051777</v>
      </c>
    </row>
    <row r="320" spans="2:14">
      <c r="B320" s="73">
        <v>127743</v>
      </c>
      <c r="C320" s="23" t="s">
        <v>7</v>
      </c>
      <c r="D320" s="123">
        <f>SUMIF(B$3:B$3844,B320,M$3:M$3844)/(SUMIF(B$3:B$3844,B320,J$3:J$3844))</f>
        <v>0.63185358674778802</v>
      </c>
      <c r="E320" s="23">
        <v>227248</v>
      </c>
      <c r="F320" s="46" t="s">
        <v>134</v>
      </c>
      <c r="G320" s="117"/>
      <c r="H320" s="117"/>
      <c r="I320" s="45">
        <v>1272</v>
      </c>
      <c r="J320" s="45">
        <v>2388</v>
      </c>
      <c r="K320" s="118"/>
      <c r="L320" s="119"/>
      <c r="M320" s="110">
        <f>IF(L320="",I320,(MIN(J320,(L320*1.6*J320))))</f>
        <v>1272</v>
      </c>
      <c r="N320" s="111">
        <f>IF(M320=0,0,(M320/J320))</f>
        <v>0.53266331658291455</v>
      </c>
    </row>
    <row r="321" spans="2:14">
      <c r="B321" s="72">
        <v>127743</v>
      </c>
      <c r="C321" s="47" t="s">
        <v>7</v>
      </c>
      <c r="D321" s="123">
        <f>SUMIF(B$3:B$3844,B321,M$3:M$3844)/(SUMIF(B$3:B$3844,B321,J$3:J$3844))</f>
        <v>0.63185358674778802</v>
      </c>
      <c r="E321" s="47">
        <v>36584</v>
      </c>
      <c r="F321" s="48" t="s">
        <v>135</v>
      </c>
      <c r="G321" s="117"/>
      <c r="H321" s="117"/>
      <c r="I321" s="40">
        <v>419</v>
      </c>
      <c r="J321" s="40">
        <v>442</v>
      </c>
      <c r="K321" s="118"/>
      <c r="L321" s="119"/>
      <c r="M321" s="110">
        <f>IF(L321="",I321,(MIN(J321,(L321*1.6*J321))))</f>
        <v>419</v>
      </c>
      <c r="N321" s="111">
        <f>IF(M321=0,0,(M321/J321))</f>
        <v>0.94796380090497734</v>
      </c>
    </row>
    <row r="322" spans="2:14">
      <c r="B322" s="73">
        <v>127743</v>
      </c>
      <c r="C322" s="23" t="s">
        <v>7</v>
      </c>
      <c r="D322" s="123">
        <f>SUMIF(B$3:B$3844,B322,M$3:M$3844)/(SUMIF(B$3:B$3844,B322,J$3:J$3844))</f>
        <v>0.63185358674778802</v>
      </c>
      <c r="E322" s="23">
        <v>218647</v>
      </c>
      <c r="F322" s="46" t="s">
        <v>136</v>
      </c>
      <c r="G322" s="117"/>
      <c r="H322" s="117"/>
      <c r="I322" s="41">
        <v>741</v>
      </c>
      <c r="J322" s="41">
        <v>891</v>
      </c>
      <c r="K322" s="118"/>
      <c r="L322" s="119"/>
      <c r="M322" s="110">
        <f>IF(L322="",I322,(MIN(J322,(L322*1.6*J322))))</f>
        <v>741</v>
      </c>
      <c r="N322" s="111">
        <f>IF(M322=0,0,(M322/J322))</f>
        <v>0.83164983164983164</v>
      </c>
    </row>
    <row r="323" spans="2:14">
      <c r="B323" s="72">
        <v>127743</v>
      </c>
      <c r="C323" s="47" t="s">
        <v>7</v>
      </c>
      <c r="D323" s="123">
        <f>SUMIF(B$3:B$3844,B323,M$3:M$3844)/(SUMIF(B$3:B$3844,B323,J$3:J$3844))</f>
        <v>0.63185358674778802</v>
      </c>
      <c r="E323" s="47">
        <v>37141</v>
      </c>
      <c r="F323" s="48" t="s">
        <v>137</v>
      </c>
      <c r="G323" s="117"/>
      <c r="H323" s="117"/>
      <c r="I323" s="124">
        <v>1172</v>
      </c>
      <c r="J323" s="124">
        <v>1441</v>
      </c>
      <c r="K323" s="118"/>
      <c r="L323" s="119"/>
      <c r="M323" s="110">
        <f>IF(L323="",I323,(MIN(J323,(L323*1.6*J323))))</f>
        <v>1172</v>
      </c>
      <c r="N323" s="111">
        <f>IF(M323=0,0,(M323/J323))</f>
        <v>0.81332408049965299</v>
      </c>
    </row>
    <row r="324" spans="2:14">
      <c r="B324" s="73">
        <v>127743</v>
      </c>
      <c r="C324" s="23" t="s">
        <v>7</v>
      </c>
      <c r="D324" s="123">
        <f>SUMIF(B$3:B$3844,B324,M$3:M$3844)/(SUMIF(B$3:B$3844,B324,J$3:J$3844))</f>
        <v>0.63185358674778802</v>
      </c>
      <c r="E324" s="23">
        <v>37200</v>
      </c>
      <c r="F324" s="46" t="s">
        <v>138</v>
      </c>
      <c r="G324" s="117"/>
      <c r="H324" s="117"/>
      <c r="I324" s="41">
        <v>333</v>
      </c>
      <c r="J324" s="41">
        <v>553</v>
      </c>
      <c r="K324" s="118"/>
      <c r="L324" s="119"/>
      <c r="M324" s="110">
        <f>IF(L324="",I324,(MIN(J324,(L324*1.6*J324))))</f>
        <v>333</v>
      </c>
      <c r="N324" s="111">
        <f>IF(M324=0,0,(M324/J324))</f>
        <v>0.60216998191681737</v>
      </c>
    </row>
    <row r="325" spans="2:14">
      <c r="B325" s="72">
        <v>127743</v>
      </c>
      <c r="C325" s="47" t="s">
        <v>7</v>
      </c>
      <c r="D325" s="123">
        <f>SUMIF(B$3:B$3844,B325,M$3:M$3844)/(SUMIF(B$3:B$3844,B325,J$3:J$3844))</f>
        <v>0.63185358674778802</v>
      </c>
      <c r="E325" s="47">
        <v>36560</v>
      </c>
      <c r="F325" s="48" t="s">
        <v>139</v>
      </c>
      <c r="G325" s="117"/>
      <c r="H325" s="117"/>
      <c r="I325" s="40">
        <v>627</v>
      </c>
      <c r="J325" s="40">
        <v>846</v>
      </c>
      <c r="K325" s="118"/>
      <c r="L325" s="119"/>
      <c r="M325" s="110">
        <f>IF(L325="",I325,(MIN(J325,(L325*1.6*J325))))</f>
        <v>627</v>
      </c>
      <c r="N325" s="111">
        <f>IF(M325=0,0,(M325/J325))</f>
        <v>0.74113475177304966</v>
      </c>
    </row>
    <row r="326" spans="2:14">
      <c r="B326" s="73">
        <v>127743</v>
      </c>
      <c r="C326" s="23" t="s">
        <v>7</v>
      </c>
      <c r="D326" s="123">
        <f>SUMIF(B$3:B$3844,B326,M$3:M$3844)/(SUMIF(B$3:B$3844,B326,J$3:J$3844))</f>
        <v>0.63185358674778802</v>
      </c>
      <c r="E326" s="23">
        <v>37241</v>
      </c>
      <c r="F326" s="46" t="s">
        <v>140</v>
      </c>
      <c r="G326" s="117"/>
      <c r="H326" s="117"/>
      <c r="I326" s="41">
        <v>699</v>
      </c>
      <c r="J326" s="41">
        <v>908</v>
      </c>
      <c r="K326" s="118"/>
      <c r="L326" s="119"/>
      <c r="M326" s="110">
        <f>IF(L326="",I326,(MIN(J326,(L326*1.6*J326))))</f>
        <v>699</v>
      </c>
      <c r="N326" s="111">
        <f>IF(M326=0,0,(M326/J326))</f>
        <v>0.76982378854625555</v>
      </c>
    </row>
    <row r="327" spans="2:14">
      <c r="B327" s="72">
        <v>127743</v>
      </c>
      <c r="C327" s="47" t="s">
        <v>7</v>
      </c>
      <c r="D327" s="123">
        <f>SUMIF(B$3:B$3844,B327,M$3:M$3844)/(SUMIF(B$3:B$3844,B327,J$3:J$3844))</f>
        <v>0.63185358674778802</v>
      </c>
      <c r="E327" s="47">
        <v>16022180</v>
      </c>
      <c r="F327" s="48" t="s">
        <v>141</v>
      </c>
      <c r="G327" s="117"/>
      <c r="H327" s="117"/>
      <c r="I327" s="40"/>
      <c r="J327" s="40" t="s">
        <v>264</v>
      </c>
      <c r="K327" s="118"/>
      <c r="L327" s="119"/>
      <c r="M327" s="110">
        <f>IF(L327="",I327,(MIN(J327,(L327*1.6*J327))))</f>
        <v>0</v>
      </c>
      <c r="N327" s="111">
        <f>IF(M327=0,0,(M327/J327))</f>
        <v>0</v>
      </c>
    </row>
    <row r="328" spans="2:14">
      <c r="B328" s="73">
        <v>127743</v>
      </c>
      <c r="C328" s="23" t="s">
        <v>7</v>
      </c>
      <c r="D328" s="123">
        <f>SUMIF(B$3:B$3844,B328,M$3:M$3844)/(SUMIF(B$3:B$3844,B328,J$3:J$3844))</f>
        <v>0.63185358674778802</v>
      </c>
      <c r="E328" s="23">
        <v>37132</v>
      </c>
      <c r="F328" s="46" t="s">
        <v>142</v>
      </c>
      <c r="G328" s="117"/>
      <c r="H328" s="117"/>
      <c r="I328" s="41">
        <v>485</v>
      </c>
      <c r="J328" s="41">
        <v>493</v>
      </c>
      <c r="K328" s="118"/>
      <c r="L328" s="119"/>
      <c r="M328" s="110">
        <f>IF(L328="",I328,(MIN(J328,(L328*1.6*J328))))</f>
        <v>485</v>
      </c>
      <c r="N328" s="111">
        <f>IF(M328=0,0,(M328/J328))</f>
        <v>0.98377281947261663</v>
      </c>
    </row>
    <row r="329" spans="2:14">
      <c r="B329" s="72">
        <v>127743</v>
      </c>
      <c r="C329" s="47" t="s">
        <v>7</v>
      </c>
      <c r="D329" s="123">
        <f>SUMIF(B$3:B$3844,B329,M$3:M$3844)/(SUMIF(B$3:B$3844,B329,J$3:J$3844))</f>
        <v>0.63185358674778802</v>
      </c>
      <c r="E329" s="47">
        <v>36585</v>
      </c>
      <c r="F329" s="48" t="s">
        <v>143</v>
      </c>
      <c r="G329" s="117"/>
      <c r="H329" s="117"/>
      <c r="I329" s="40">
        <v>642</v>
      </c>
      <c r="J329" s="40">
        <v>688</v>
      </c>
      <c r="K329" s="118"/>
      <c r="L329" s="119"/>
      <c r="M329" s="110">
        <f>IF(L329="",I329,(MIN(J329,(L329*1.6*J329))))</f>
        <v>642</v>
      </c>
      <c r="N329" s="111">
        <f>IF(M329=0,0,(M329/J329))</f>
        <v>0.93313953488372092</v>
      </c>
    </row>
    <row r="330" spans="2:14">
      <c r="B330" s="73">
        <v>127743</v>
      </c>
      <c r="C330" s="23" t="s">
        <v>7</v>
      </c>
      <c r="D330" s="123">
        <f>SUMIF(B$3:B$3844,B330,M$3:M$3844)/(SUMIF(B$3:B$3844,B330,J$3:J$3844))</f>
        <v>0.63185358674778802</v>
      </c>
      <c r="E330" s="23">
        <v>37087</v>
      </c>
      <c r="F330" s="46" t="s">
        <v>144</v>
      </c>
      <c r="G330" s="117"/>
      <c r="H330" s="117"/>
      <c r="I330" s="41">
        <v>439</v>
      </c>
      <c r="J330" s="41">
        <v>446</v>
      </c>
      <c r="K330" s="118"/>
      <c r="L330" s="119"/>
      <c r="M330" s="110">
        <f>IF(L330="",I330,(MIN(J330,(L330*1.6*J330))))</f>
        <v>439</v>
      </c>
      <c r="N330" s="111">
        <f>IF(M330=0,0,(M330/J330))</f>
        <v>0.98430493273542596</v>
      </c>
    </row>
    <row r="331" spans="2:14">
      <c r="B331" s="72">
        <v>127743</v>
      </c>
      <c r="C331" s="47" t="s">
        <v>7</v>
      </c>
      <c r="D331" s="123">
        <f>SUMIF(B$3:B$3844,B331,M$3:M$3844)/(SUMIF(B$3:B$3844,B331,J$3:J$3844))</f>
        <v>0.63185358674778802</v>
      </c>
      <c r="E331" s="47">
        <v>37244</v>
      </c>
      <c r="F331" s="48" t="s">
        <v>145</v>
      </c>
      <c r="G331" s="117"/>
      <c r="H331" s="117"/>
      <c r="I331" s="124">
        <v>1378</v>
      </c>
      <c r="J331" s="124">
        <v>1859</v>
      </c>
      <c r="K331" s="118"/>
      <c r="L331" s="119"/>
      <c r="M331" s="110">
        <f>IF(L331="",I331,(MIN(J331,(L331*1.6*J331))))</f>
        <v>1378</v>
      </c>
      <c r="N331" s="111">
        <f>IF(M331=0,0,(M331/J331))</f>
        <v>0.74125874125874125</v>
      </c>
    </row>
    <row r="332" spans="2:14">
      <c r="B332" s="73">
        <v>127743</v>
      </c>
      <c r="C332" s="23" t="s">
        <v>7</v>
      </c>
      <c r="D332" s="123">
        <f>SUMIF(B$3:B$3844,B332,M$3:M$3844)/(SUMIF(B$3:B$3844,B332,J$3:J$3844))</f>
        <v>0.63185358674778802</v>
      </c>
      <c r="E332" s="23">
        <v>16022181</v>
      </c>
      <c r="F332" s="46" t="s">
        <v>146</v>
      </c>
      <c r="G332" s="117"/>
      <c r="H332" s="117"/>
      <c r="I332" s="41"/>
      <c r="J332" s="41" t="s">
        <v>264</v>
      </c>
      <c r="K332" s="118"/>
      <c r="L332" s="119"/>
      <c r="M332" s="110">
        <f>IF(L332="",I332,(MIN(J332,(L332*1.6*J332))))</f>
        <v>0</v>
      </c>
      <c r="N332" s="111">
        <f>IF(M332=0,0,(M332/J332))</f>
        <v>0</v>
      </c>
    </row>
    <row r="333" spans="2:14">
      <c r="B333" s="72">
        <v>127743</v>
      </c>
      <c r="C333" s="47" t="s">
        <v>7</v>
      </c>
      <c r="D333" s="123">
        <f>SUMIF(B$3:B$3844,B333,M$3:M$3844)/(SUMIF(B$3:B$3844,B333,J$3:J$3844))</f>
        <v>0.63185358674778802</v>
      </c>
      <c r="E333" s="47">
        <v>37166</v>
      </c>
      <c r="F333" s="48" t="s">
        <v>147</v>
      </c>
      <c r="G333" s="117"/>
      <c r="H333" s="117"/>
      <c r="I333" s="40">
        <v>483</v>
      </c>
      <c r="J333" s="40">
        <v>767</v>
      </c>
      <c r="K333" s="118"/>
      <c r="L333" s="119"/>
      <c r="M333" s="110">
        <f>IF(L333="",I333,(MIN(J333,(L333*1.6*J333))))</f>
        <v>483</v>
      </c>
      <c r="N333" s="111">
        <f>IF(M333=0,0,(M333/J333))</f>
        <v>0.62972620599739249</v>
      </c>
    </row>
    <row r="334" spans="2:14">
      <c r="B334" s="73">
        <v>127743</v>
      </c>
      <c r="C334" s="23" t="s">
        <v>7</v>
      </c>
      <c r="D334" s="123">
        <f>SUMIF(B$3:B$3844,B334,M$3:M$3844)/(SUMIF(B$3:B$3844,B334,J$3:J$3844))</f>
        <v>0.63185358674778802</v>
      </c>
      <c r="E334" s="23">
        <v>37168</v>
      </c>
      <c r="F334" s="46" t="s">
        <v>148</v>
      </c>
      <c r="G334" s="117"/>
      <c r="H334" s="117"/>
      <c r="I334" s="41">
        <v>494</v>
      </c>
      <c r="J334" s="41">
        <v>768</v>
      </c>
      <c r="K334" s="118"/>
      <c r="L334" s="119"/>
      <c r="M334" s="110">
        <f>IF(L334="",I334,(MIN(J334,(L334*1.6*J334))))</f>
        <v>494</v>
      </c>
      <c r="N334" s="111">
        <f>IF(M334=0,0,(M334/J334))</f>
        <v>0.64322916666666663</v>
      </c>
    </row>
    <row r="335" spans="2:14">
      <c r="B335" s="72">
        <v>127743</v>
      </c>
      <c r="C335" s="47" t="s">
        <v>7</v>
      </c>
      <c r="D335" s="123">
        <f>SUMIF(B$3:B$3844,B335,M$3:M$3844)/(SUMIF(B$3:B$3844,B335,J$3:J$3844))</f>
        <v>0.63185358674778802</v>
      </c>
      <c r="E335" s="47">
        <v>37175</v>
      </c>
      <c r="F335" s="48" t="s">
        <v>149</v>
      </c>
      <c r="G335" s="117"/>
      <c r="H335" s="117"/>
      <c r="I335" s="124">
        <v>1309</v>
      </c>
      <c r="J335" s="124">
        <v>2174</v>
      </c>
      <c r="K335" s="118"/>
      <c r="L335" s="119"/>
      <c r="M335" s="110">
        <f>IF(L335="",I335,(MIN(J335,(L335*1.6*J335))))</f>
        <v>1309</v>
      </c>
      <c r="N335" s="111">
        <f>IF(M335=0,0,(M335/J335))</f>
        <v>0.60211591536338549</v>
      </c>
    </row>
    <row r="336" spans="2:14">
      <c r="B336" s="73">
        <v>127743</v>
      </c>
      <c r="C336" s="23" t="s">
        <v>7</v>
      </c>
      <c r="D336" s="123">
        <f>SUMIF(B$3:B$3844,B336,M$3:M$3844)/(SUMIF(B$3:B$3844,B336,J$3:J$3844))</f>
        <v>0.63185358674778802</v>
      </c>
      <c r="E336" s="23">
        <v>37174</v>
      </c>
      <c r="F336" s="46" t="s">
        <v>150</v>
      </c>
      <c r="G336" s="117"/>
      <c r="H336" s="117"/>
      <c r="I336" s="41">
        <v>811</v>
      </c>
      <c r="J336" s="45">
        <v>1278</v>
      </c>
      <c r="K336" s="118"/>
      <c r="L336" s="119"/>
      <c r="M336" s="110">
        <f>IF(L336="",I336,(MIN(J336,(L336*1.6*J336))))</f>
        <v>811</v>
      </c>
      <c r="N336" s="111">
        <f>IF(M336=0,0,(M336/J336))</f>
        <v>0.63458528951486703</v>
      </c>
    </row>
    <row r="337" spans="2:14">
      <c r="B337" s="72">
        <v>127743</v>
      </c>
      <c r="C337" s="47" t="s">
        <v>7</v>
      </c>
      <c r="D337" s="123">
        <f>SUMIF(B$3:B$3844,B337,M$3:M$3844)/(SUMIF(B$3:B$3844,B337,J$3:J$3844))</f>
        <v>0.63185358674778802</v>
      </c>
      <c r="E337" s="47">
        <v>37242</v>
      </c>
      <c r="F337" s="48" t="s">
        <v>151</v>
      </c>
      <c r="G337" s="117"/>
      <c r="H337" s="117"/>
      <c r="I337" s="40">
        <v>601</v>
      </c>
      <c r="J337" s="40">
        <v>645</v>
      </c>
      <c r="K337" s="118"/>
      <c r="L337" s="119"/>
      <c r="M337" s="110">
        <f>IF(L337="",I337,(MIN(J337,(L337*1.6*J337))))</f>
        <v>601</v>
      </c>
      <c r="N337" s="111">
        <f>IF(M337=0,0,(M337/J337))</f>
        <v>0.93178294573643405</v>
      </c>
    </row>
    <row r="338" spans="2:14">
      <c r="B338" s="73">
        <v>127743</v>
      </c>
      <c r="C338" s="23" t="s">
        <v>7</v>
      </c>
      <c r="D338" s="123">
        <f>SUMIF(B$3:B$3844,B338,M$3:M$3844)/(SUMIF(B$3:B$3844,B338,J$3:J$3844))</f>
        <v>0.63185358674778802</v>
      </c>
      <c r="E338" s="23">
        <v>36360</v>
      </c>
      <c r="F338" s="46" t="s">
        <v>152</v>
      </c>
      <c r="G338" s="117"/>
      <c r="H338" s="117"/>
      <c r="I338" s="41">
        <v>414</v>
      </c>
      <c r="J338" s="41">
        <v>466</v>
      </c>
      <c r="K338" s="118"/>
      <c r="L338" s="119"/>
      <c r="M338" s="110">
        <f>IF(L338="",I338,(MIN(J338,(L338*1.6*J338))))</f>
        <v>414</v>
      </c>
      <c r="N338" s="111">
        <f>IF(M338=0,0,(M338/J338))</f>
        <v>0.88841201716738194</v>
      </c>
    </row>
    <row r="339" spans="2:14">
      <c r="B339" s="72">
        <v>127743</v>
      </c>
      <c r="C339" s="47" t="s">
        <v>7</v>
      </c>
      <c r="D339" s="123">
        <f>SUMIF(B$3:B$3844,B339,M$3:M$3844)/(SUMIF(B$3:B$3844,B339,J$3:J$3844))</f>
        <v>0.63185358674778802</v>
      </c>
      <c r="E339" s="47">
        <v>36288</v>
      </c>
      <c r="F339" s="48" t="s">
        <v>153</v>
      </c>
      <c r="G339" s="117"/>
      <c r="H339" s="117"/>
      <c r="I339" s="40">
        <v>556</v>
      </c>
      <c r="J339" s="40">
        <v>676</v>
      </c>
      <c r="K339" s="118"/>
      <c r="L339" s="119"/>
      <c r="M339" s="110">
        <f>IF(L339="",I339,(MIN(J339,(L339*1.6*J339))))</f>
        <v>556</v>
      </c>
      <c r="N339" s="111">
        <f>IF(M339=0,0,(M339/J339))</f>
        <v>0.8224852071005917</v>
      </c>
    </row>
    <row r="340" spans="2:14">
      <c r="B340" s="73">
        <v>127743</v>
      </c>
      <c r="C340" s="23" t="s">
        <v>7</v>
      </c>
      <c r="D340" s="123">
        <f>SUMIF(B$3:B$3844,B340,M$3:M$3844)/(SUMIF(B$3:B$3844,B340,J$3:J$3844))</f>
        <v>0.63185358674778802</v>
      </c>
      <c r="E340" s="23">
        <v>36384</v>
      </c>
      <c r="F340" s="46" t="s">
        <v>154</v>
      </c>
      <c r="G340" s="117"/>
      <c r="H340" s="117"/>
      <c r="I340" s="41">
        <v>657</v>
      </c>
      <c r="J340" s="41">
        <v>734</v>
      </c>
      <c r="K340" s="118"/>
      <c r="L340" s="119"/>
      <c r="M340" s="110">
        <f>IF(L340="",I340,(MIN(J340,(L340*1.6*J340))))</f>
        <v>657</v>
      </c>
      <c r="N340" s="111">
        <f>IF(M340=0,0,(M340/J340))</f>
        <v>0.89509536784741139</v>
      </c>
    </row>
    <row r="341" spans="2:14">
      <c r="B341" s="72">
        <v>127743</v>
      </c>
      <c r="C341" s="47" t="s">
        <v>7</v>
      </c>
      <c r="D341" s="123">
        <f>SUMIF(B$3:B$3844,B341,M$3:M$3844)/(SUMIF(B$3:B$3844,B341,J$3:J$3844))</f>
        <v>0.63185358674778802</v>
      </c>
      <c r="E341" s="47">
        <v>37105</v>
      </c>
      <c r="F341" s="48" t="s">
        <v>155</v>
      </c>
      <c r="G341" s="117"/>
      <c r="H341" s="117"/>
      <c r="I341" s="40">
        <v>579</v>
      </c>
      <c r="J341" s="40">
        <v>619</v>
      </c>
      <c r="K341" s="118"/>
      <c r="L341" s="119"/>
      <c r="M341" s="110">
        <f>IF(L341="",I341,(MIN(J341,(L341*1.6*J341))))</f>
        <v>579</v>
      </c>
      <c r="N341" s="111">
        <f>IF(M341=0,0,(M341/J341))</f>
        <v>0.93537964458804523</v>
      </c>
    </row>
    <row r="342" spans="2:14">
      <c r="B342" s="73">
        <v>127743</v>
      </c>
      <c r="C342" s="23" t="s">
        <v>7</v>
      </c>
      <c r="D342" s="123">
        <f>SUMIF(B$3:B$3844,B342,M$3:M$3844)/(SUMIF(B$3:B$3844,B342,J$3:J$3844))</f>
        <v>0.63185358674778802</v>
      </c>
      <c r="E342" s="23">
        <v>36427</v>
      </c>
      <c r="F342" s="46" t="s">
        <v>156</v>
      </c>
      <c r="G342" s="117"/>
      <c r="H342" s="117"/>
      <c r="I342" s="41">
        <v>533</v>
      </c>
      <c r="J342" s="41">
        <v>728</v>
      </c>
      <c r="K342" s="118"/>
      <c r="L342" s="119"/>
      <c r="M342" s="110">
        <f>IF(L342="",I342,(MIN(J342,(L342*1.6*J342))))</f>
        <v>533</v>
      </c>
      <c r="N342" s="111">
        <f>IF(M342=0,0,(M342/J342))</f>
        <v>0.7321428571428571</v>
      </c>
    </row>
    <row r="343" spans="2:14">
      <c r="B343" s="72">
        <v>127743</v>
      </c>
      <c r="C343" s="47" t="s">
        <v>7</v>
      </c>
      <c r="D343" s="123">
        <f>SUMIF(B$3:B$3844,B343,M$3:M$3844)/(SUMIF(B$3:B$3844,B343,J$3:J$3844))</f>
        <v>0.63185358674778802</v>
      </c>
      <c r="E343" s="47">
        <v>36555</v>
      </c>
      <c r="F343" s="48" t="s">
        <v>157</v>
      </c>
      <c r="G343" s="117"/>
      <c r="H343" s="117"/>
      <c r="I343" s="40">
        <v>610</v>
      </c>
      <c r="J343" s="40">
        <v>623</v>
      </c>
      <c r="K343" s="118"/>
      <c r="L343" s="119"/>
      <c r="M343" s="110">
        <f>IF(L343="",I343,(MIN(J343,(L343*1.6*J343))))</f>
        <v>610</v>
      </c>
      <c r="N343" s="111">
        <f>IF(M343=0,0,(M343/J343))</f>
        <v>0.9791332263242376</v>
      </c>
    </row>
    <row r="344" spans="2:14">
      <c r="B344" s="73">
        <v>127743</v>
      </c>
      <c r="C344" s="23" t="s">
        <v>7</v>
      </c>
      <c r="D344" s="123">
        <f>SUMIF(B$3:B$3844,B344,M$3:M$3844)/(SUMIF(B$3:B$3844,B344,J$3:J$3844))</f>
        <v>0.63185358674778802</v>
      </c>
      <c r="E344" s="23">
        <v>149958</v>
      </c>
      <c r="F344" s="46" t="s">
        <v>158</v>
      </c>
      <c r="G344" s="117"/>
      <c r="H344" s="117"/>
      <c r="I344" s="41">
        <v>200</v>
      </c>
      <c r="J344" s="41">
        <v>572</v>
      </c>
      <c r="K344" s="118"/>
      <c r="L344" s="119"/>
      <c r="M344" s="110">
        <f>IF(L344="",I344,(MIN(J344,(L344*1.6*J344))))</f>
        <v>200</v>
      </c>
      <c r="N344" s="111">
        <f>IF(M344=0,0,(M344/J344))</f>
        <v>0.34965034965034963</v>
      </c>
    </row>
    <row r="345" spans="2:14">
      <c r="B345" s="72">
        <v>127743</v>
      </c>
      <c r="C345" s="47" t="s">
        <v>7</v>
      </c>
      <c r="D345" s="123">
        <f>SUMIF(B$3:B$3844,B345,M$3:M$3844)/(SUMIF(B$3:B$3844,B345,J$3:J$3844))</f>
        <v>0.63185358674778802</v>
      </c>
      <c r="E345" s="47">
        <v>209472</v>
      </c>
      <c r="F345" s="48" t="s">
        <v>159</v>
      </c>
      <c r="G345" s="117"/>
      <c r="H345" s="117"/>
      <c r="I345" s="124">
        <v>1133</v>
      </c>
      <c r="J345" s="124">
        <v>1194</v>
      </c>
      <c r="K345" s="118"/>
      <c r="L345" s="119"/>
      <c r="M345" s="110">
        <f>IF(L345="",I345,(MIN(J345,(L345*1.6*J345))))</f>
        <v>1133</v>
      </c>
      <c r="N345" s="111">
        <f>IF(M345=0,0,(M345/J345))</f>
        <v>0.9489112227805695</v>
      </c>
    </row>
    <row r="346" spans="2:14">
      <c r="B346" s="73">
        <v>127743</v>
      </c>
      <c r="C346" s="23" t="s">
        <v>7</v>
      </c>
      <c r="D346" s="123">
        <f>SUMIF(B$3:B$3844,B346,M$3:M$3844)/(SUMIF(B$3:B$3844,B346,J$3:J$3844))</f>
        <v>0.63185358674778802</v>
      </c>
      <c r="E346" s="23">
        <v>36558</v>
      </c>
      <c r="F346" s="46" t="s">
        <v>160</v>
      </c>
      <c r="G346" s="117"/>
      <c r="H346" s="117"/>
      <c r="I346" s="41">
        <v>486</v>
      </c>
      <c r="J346" s="41">
        <v>510</v>
      </c>
      <c r="K346" s="118"/>
      <c r="L346" s="119"/>
      <c r="M346" s="110">
        <f>IF(L346="",I346,(MIN(J346,(L346*1.6*J346))))</f>
        <v>486</v>
      </c>
      <c r="N346" s="111">
        <f>IF(M346=0,0,(M346/J346))</f>
        <v>0.95294117647058818</v>
      </c>
    </row>
    <row r="347" spans="2:14">
      <c r="B347" s="72">
        <v>127743</v>
      </c>
      <c r="C347" s="47" t="s">
        <v>7</v>
      </c>
      <c r="D347" s="123">
        <f>SUMIF(B$3:B$3844,B347,M$3:M$3844)/(SUMIF(B$3:B$3844,B347,J$3:J$3844))</f>
        <v>0.63185358674778802</v>
      </c>
      <c r="E347" s="47">
        <v>36581</v>
      </c>
      <c r="F347" s="48" t="s">
        <v>161</v>
      </c>
      <c r="G347" s="117"/>
      <c r="H347" s="117"/>
      <c r="I347" s="40">
        <v>415</v>
      </c>
      <c r="J347" s="124">
        <v>1031</v>
      </c>
      <c r="K347" s="118"/>
      <c r="L347" s="119"/>
      <c r="M347" s="110">
        <f>IF(L347="",I347,(MIN(J347,(L347*1.6*J347))))</f>
        <v>415</v>
      </c>
      <c r="N347" s="111">
        <f>IF(M347=0,0,(M347/J347))</f>
        <v>0.40252182347235693</v>
      </c>
    </row>
    <row r="348" spans="2:14">
      <c r="B348" s="73">
        <v>127743</v>
      </c>
      <c r="C348" s="23" t="s">
        <v>7</v>
      </c>
      <c r="D348" s="123">
        <f>SUMIF(B$3:B$3844,B348,M$3:M$3844)/(SUMIF(B$3:B$3844,B348,J$3:J$3844))</f>
        <v>0.63185358674778802</v>
      </c>
      <c r="E348" s="23">
        <v>209468</v>
      </c>
      <c r="F348" s="46" t="s">
        <v>162</v>
      </c>
      <c r="G348" s="117"/>
      <c r="H348" s="117"/>
      <c r="I348" s="41">
        <v>155</v>
      </c>
      <c r="J348" s="45">
        <v>1320</v>
      </c>
      <c r="K348" s="118"/>
      <c r="L348" s="119"/>
      <c r="M348" s="110">
        <f>IF(L348="",I348,(MIN(J348,(L348*1.6*J348))))</f>
        <v>155</v>
      </c>
      <c r="N348" s="111">
        <f>IF(M348=0,0,(M348/J348))</f>
        <v>0.11742424242424243</v>
      </c>
    </row>
    <row r="349" spans="2:14">
      <c r="B349" s="72">
        <v>127743</v>
      </c>
      <c r="C349" s="47" t="s">
        <v>7</v>
      </c>
      <c r="D349" s="123">
        <f>SUMIF(B$3:B$3844,B349,M$3:M$3844)/(SUMIF(B$3:B$3844,B349,J$3:J$3844))</f>
        <v>0.63185358674778802</v>
      </c>
      <c r="E349" s="47">
        <v>207990</v>
      </c>
      <c r="F349" s="48" t="s">
        <v>163</v>
      </c>
      <c r="G349" s="117"/>
      <c r="H349" s="117"/>
      <c r="I349" s="40">
        <v>538</v>
      </c>
      <c r="J349" s="40">
        <v>774</v>
      </c>
      <c r="K349" s="118"/>
      <c r="L349" s="119"/>
      <c r="M349" s="110">
        <f>IF(L349="",I349,(MIN(J349,(L349*1.6*J349))))</f>
        <v>538</v>
      </c>
      <c r="N349" s="111">
        <f>IF(M349=0,0,(M349/J349))</f>
        <v>0.69509043927648584</v>
      </c>
    </row>
    <row r="350" spans="2:14">
      <c r="B350" s="73">
        <v>127743</v>
      </c>
      <c r="C350" s="23" t="s">
        <v>7</v>
      </c>
      <c r="D350" s="123">
        <f>SUMIF(B$3:B$3844,B350,M$3:M$3844)/(SUMIF(B$3:B$3844,B350,J$3:J$3844))</f>
        <v>0.63185358674778802</v>
      </c>
      <c r="E350" s="23">
        <v>37128</v>
      </c>
      <c r="F350" s="46" t="s">
        <v>164</v>
      </c>
      <c r="G350" s="117"/>
      <c r="H350" s="117"/>
      <c r="I350" s="45">
        <v>1264</v>
      </c>
      <c r="J350" s="45">
        <v>1487</v>
      </c>
      <c r="K350" s="118"/>
      <c r="L350" s="119"/>
      <c r="M350" s="110">
        <f>IF(L350="",I350,(MIN(J350,(L350*1.6*J350))))</f>
        <v>1264</v>
      </c>
      <c r="N350" s="111">
        <f>IF(M350=0,0,(M350/J350))</f>
        <v>0.85003362474781441</v>
      </c>
    </row>
    <row r="351" spans="2:14">
      <c r="B351" s="72">
        <v>127743</v>
      </c>
      <c r="C351" s="47" t="s">
        <v>7</v>
      </c>
      <c r="D351" s="123">
        <f>SUMIF(B$3:B$3844,B351,M$3:M$3844)/(SUMIF(B$3:B$3844,B351,J$3:J$3844))</f>
        <v>0.63185358674778802</v>
      </c>
      <c r="E351" s="47">
        <v>36410</v>
      </c>
      <c r="F351" s="48" t="s">
        <v>165</v>
      </c>
      <c r="G351" s="117"/>
      <c r="H351" s="117"/>
      <c r="I351" s="40">
        <v>396</v>
      </c>
      <c r="J351" s="40">
        <v>545</v>
      </c>
      <c r="K351" s="118"/>
      <c r="L351" s="119"/>
      <c r="M351" s="110">
        <f>IF(L351="",I351,(MIN(J351,(L351*1.6*J351))))</f>
        <v>396</v>
      </c>
      <c r="N351" s="111">
        <f>IF(M351=0,0,(M351/J351))</f>
        <v>0.726605504587156</v>
      </c>
    </row>
    <row r="352" spans="2:14">
      <c r="B352" s="73">
        <v>127743</v>
      </c>
      <c r="C352" s="23" t="s">
        <v>7</v>
      </c>
      <c r="D352" s="123">
        <f>SUMIF(B$3:B$3844,B352,M$3:M$3844)/(SUMIF(B$3:B$3844,B352,J$3:J$3844))</f>
        <v>0.63185358674778802</v>
      </c>
      <c r="E352" s="23">
        <v>36429</v>
      </c>
      <c r="F352" s="46" t="s">
        <v>166</v>
      </c>
      <c r="G352" s="117"/>
      <c r="H352" s="117"/>
      <c r="I352" s="41">
        <v>339</v>
      </c>
      <c r="J352" s="41">
        <v>601</v>
      </c>
      <c r="K352" s="118"/>
      <c r="L352" s="119"/>
      <c r="M352" s="110">
        <f>IF(L352="",I352,(MIN(J352,(L352*1.6*J352))))</f>
        <v>339</v>
      </c>
      <c r="N352" s="111">
        <f>IF(M352=0,0,(M352/J352))</f>
        <v>0.56405990016638941</v>
      </c>
    </row>
    <row r="353" spans="2:14">
      <c r="B353" s="72">
        <v>127743</v>
      </c>
      <c r="C353" s="47" t="s">
        <v>7</v>
      </c>
      <c r="D353" s="123">
        <f>SUMIF(B$3:B$3844,B353,M$3:M$3844)/(SUMIF(B$3:B$3844,B353,J$3:J$3844))</f>
        <v>0.63185358674778802</v>
      </c>
      <c r="E353" s="47">
        <v>36386</v>
      </c>
      <c r="F353" s="48" t="s">
        <v>167</v>
      </c>
      <c r="G353" s="117"/>
      <c r="H353" s="117"/>
      <c r="I353" s="40">
        <v>451</v>
      </c>
      <c r="J353" s="40">
        <v>555</v>
      </c>
      <c r="K353" s="118"/>
      <c r="L353" s="119"/>
      <c r="M353" s="110">
        <f>IF(L353="",I353,(MIN(J353,(L353*1.6*J353))))</f>
        <v>451</v>
      </c>
      <c r="N353" s="111">
        <f>IF(M353=0,0,(M353/J353))</f>
        <v>0.81261261261261264</v>
      </c>
    </row>
    <row r="354" spans="2:14">
      <c r="B354" s="73">
        <v>127743</v>
      </c>
      <c r="C354" s="23" t="s">
        <v>7</v>
      </c>
      <c r="D354" s="123">
        <f>SUMIF(B$3:B$3844,B354,M$3:M$3844)/(SUMIF(B$3:B$3844,B354,J$3:J$3844))</f>
        <v>0.63185358674778802</v>
      </c>
      <c r="E354" s="23">
        <v>37183</v>
      </c>
      <c r="F354" s="46" t="s">
        <v>168</v>
      </c>
      <c r="G354" s="117"/>
      <c r="H354" s="117"/>
      <c r="I354" s="41">
        <v>402</v>
      </c>
      <c r="J354" s="41">
        <v>604</v>
      </c>
      <c r="K354" s="118"/>
      <c r="L354" s="119"/>
      <c r="M354" s="110">
        <f>IF(L354="",I354,(MIN(J354,(L354*1.6*J354))))</f>
        <v>402</v>
      </c>
      <c r="N354" s="111">
        <f>IF(M354=0,0,(M354/J354))</f>
        <v>0.66556291390728473</v>
      </c>
    </row>
    <row r="355" spans="2:14">
      <c r="B355" s="72">
        <v>127743</v>
      </c>
      <c r="C355" s="47" t="s">
        <v>7</v>
      </c>
      <c r="D355" s="123">
        <f>SUMIF(B$3:B$3844,B355,M$3:M$3844)/(SUMIF(B$3:B$3844,B355,J$3:J$3844))</f>
        <v>0.63185358674778802</v>
      </c>
      <c r="E355" s="47">
        <v>233383</v>
      </c>
      <c r="F355" s="48" t="s">
        <v>169</v>
      </c>
      <c r="G355" s="117"/>
      <c r="H355" s="117"/>
      <c r="I355" s="40"/>
      <c r="J355" s="40" t="s">
        <v>264</v>
      </c>
      <c r="K355" s="118"/>
      <c r="L355" s="119"/>
      <c r="M355" s="110">
        <f>IF(L355="",I355,(MIN(J355,(L355*1.6*J355))))</f>
        <v>0</v>
      </c>
      <c r="N355" s="111">
        <f>IF(M355=0,0,(M355/J355))</f>
        <v>0</v>
      </c>
    </row>
    <row r="356" spans="2:14">
      <c r="B356" s="73">
        <v>127743</v>
      </c>
      <c r="C356" s="23" t="s">
        <v>7</v>
      </c>
      <c r="D356" s="123">
        <f>SUMIF(B$3:B$3844,B356,M$3:M$3844)/(SUMIF(B$3:B$3844,B356,J$3:J$3844))</f>
        <v>0.63185358674778802</v>
      </c>
      <c r="E356" s="23">
        <v>16038831</v>
      </c>
      <c r="F356" s="46" t="s">
        <v>170</v>
      </c>
      <c r="G356" s="117"/>
      <c r="H356" s="117"/>
      <c r="I356" s="41"/>
      <c r="J356" s="41" t="s">
        <v>264</v>
      </c>
      <c r="K356" s="118"/>
      <c r="L356" s="119"/>
      <c r="M356" s="110">
        <f>IF(L356="",I356,(MIN(J356,(L356*1.6*J356))))</f>
        <v>0</v>
      </c>
      <c r="N356" s="111">
        <f>IF(M356=0,0,(M356/J356))</f>
        <v>0</v>
      </c>
    </row>
    <row r="357" spans="2:14">
      <c r="B357" s="72">
        <v>127743</v>
      </c>
      <c r="C357" s="47" t="s">
        <v>7</v>
      </c>
      <c r="D357" s="123">
        <f>SUMIF(B$3:B$3844,B357,M$3:M$3844)/(SUMIF(B$3:B$3844,B357,J$3:J$3844))</f>
        <v>0.63185358674778802</v>
      </c>
      <c r="E357" s="47">
        <v>16022176</v>
      </c>
      <c r="F357" s="48" t="s">
        <v>171</v>
      </c>
      <c r="G357" s="117"/>
      <c r="H357" s="117"/>
      <c r="I357" s="40"/>
      <c r="J357" s="40" t="s">
        <v>264</v>
      </c>
      <c r="K357" s="118"/>
      <c r="L357" s="119"/>
      <c r="M357" s="110">
        <f>IF(L357="",I357,(MIN(J357,(L357*1.6*J357))))</f>
        <v>0</v>
      </c>
      <c r="N357" s="111">
        <f>IF(M357=0,0,(M357/J357))</f>
        <v>0</v>
      </c>
    </row>
    <row r="358" spans="2:14">
      <c r="B358" s="73">
        <v>127743</v>
      </c>
      <c r="C358" s="23" t="s">
        <v>7</v>
      </c>
      <c r="D358" s="123">
        <f>SUMIF(B$3:B$3844,B358,M$3:M$3844)/(SUMIF(B$3:B$3844,B358,J$3:J$3844))</f>
        <v>0.63185358674778802</v>
      </c>
      <c r="E358" s="23">
        <v>16038832</v>
      </c>
      <c r="F358" s="46" t="s">
        <v>172</v>
      </c>
      <c r="G358" s="117"/>
      <c r="H358" s="117"/>
      <c r="I358" s="41"/>
      <c r="J358" s="41" t="s">
        <v>264</v>
      </c>
      <c r="K358" s="118"/>
      <c r="L358" s="119"/>
      <c r="M358" s="110">
        <f>IF(L358="",I358,(MIN(J358,(L358*1.6*J358))))</f>
        <v>0</v>
      </c>
      <c r="N358" s="111">
        <f>IF(M358=0,0,(M358/J358))</f>
        <v>0</v>
      </c>
    </row>
    <row r="359" spans="2:14">
      <c r="B359" s="72">
        <v>127743</v>
      </c>
      <c r="C359" s="47" t="s">
        <v>7</v>
      </c>
      <c r="D359" s="123">
        <f>SUMIF(B$3:B$3844,B359,M$3:M$3844)/(SUMIF(B$3:B$3844,B359,J$3:J$3844))</f>
        <v>0.63185358674778802</v>
      </c>
      <c r="E359" s="47">
        <v>37190</v>
      </c>
      <c r="F359" s="48" t="s">
        <v>173</v>
      </c>
      <c r="G359" s="117"/>
      <c r="H359" s="117"/>
      <c r="I359" s="40">
        <v>70</v>
      </c>
      <c r="J359" s="40">
        <v>71</v>
      </c>
      <c r="K359" s="118"/>
      <c r="L359" s="119"/>
      <c r="M359" s="110">
        <f>IF(L359="",I359,(MIN(J359,(L359*1.6*J359))))</f>
        <v>70</v>
      </c>
      <c r="N359" s="111">
        <f>IF(M359=0,0,(M359/J359))</f>
        <v>0.9859154929577465</v>
      </c>
    </row>
    <row r="360" spans="2:14">
      <c r="B360" s="73">
        <v>127743</v>
      </c>
      <c r="C360" s="23" t="s">
        <v>7</v>
      </c>
      <c r="D360" s="123">
        <f>SUMIF(B$3:B$3844,B360,M$3:M$3844)/(SUMIF(B$3:B$3844,B360,J$3:J$3844))</f>
        <v>0.63185358674778802</v>
      </c>
      <c r="E360" s="23">
        <v>36430</v>
      </c>
      <c r="F360" s="46" t="s">
        <v>174</v>
      </c>
      <c r="G360" s="117"/>
      <c r="H360" s="117"/>
      <c r="I360" s="41">
        <v>409</v>
      </c>
      <c r="J360" s="41">
        <v>571</v>
      </c>
      <c r="K360" s="118"/>
      <c r="L360" s="119"/>
      <c r="M360" s="110">
        <f>IF(L360="",I360,(MIN(J360,(L360*1.6*J360))))</f>
        <v>409</v>
      </c>
      <c r="N360" s="111">
        <f>IF(M360=0,0,(M360/J360))</f>
        <v>0.71628721541155871</v>
      </c>
    </row>
    <row r="361" spans="2:14">
      <c r="B361" s="72">
        <v>127743</v>
      </c>
      <c r="C361" s="47" t="s">
        <v>7</v>
      </c>
      <c r="D361" s="123">
        <f>SUMIF(B$3:B$3844,B361,M$3:M$3844)/(SUMIF(B$3:B$3844,B361,J$3:J$3844))</f>
        <v>0.63185358674778802</v>
      </c>
      <c r="E361" s="47">
        <v>36416</v>
      </c>
      <c r="F361" s="48" t="s">
        <v>175</v>
      </c>
      <c r="G361" s="117"/>
      <c r="H361" s="117"/>
      <c r="I361" s="40">
        <v>845</v>
      </c>
      <c r="J361" s="124">
        <v>1104</v>
      </c>
      <c r="K361" s="118"/>
      <c r="L361" s="119"/>
      <c r="M361" s="110">
        <f>IF(L361="",I361,(MIN(J361,(L361*1.6*J361))))</f>
        <v>845</v>
      </c>
      <c r="N361" s="111">
        <f>IF(M361=0,0,(M361/J361))</f>
        <v>0.76539855072463769</v>
      </c>
    </row>
    <row r="362" spans="2:14">
      <c r="B362" s="73">
        <v>127743</v>
      </c>
      <c r="C362" s="23" t="s">
        <v>7</v>
      </c>
      <c r="D362" s="123">
        <f>SUMIF(B$3:B$3844,B362,M$3:M$3844)/(SUMIF(B$3:B$3844,B362,J$3:J$3844))</f>
        <v>0.63185358674778802</v>
      </c>
      <c r="E362" s="23">
        <v>36589</v>
      </c>
      <c r="F362" s="46" t="s">
        <v>176</v>
      </c>
      <c r="G362" s="117"/>
      <c r="H362" s="117"/>
      <c r="I362" s="41">
        <v>473</v>
      </c>
      <c r="J362" s="41">
        <v>552</v>
      </c>
      <c r="K362" s="118"/>
      <c r="L362" s="119"/>
      <c r="M362" s="110">
        <f>IF(L362="",I362,(MIN(J362,(L362*1.6*J362))))</f>
        <v>473</v>
      </c>
      <c r="N362" s="111">
        <f>IF(M362=0,0,(M362/J362))</f>
        <v>0.85688405797101452</v>
      </c>
    </row>
    <row r="363" spans="2:14">
      <c r="B363" s="72">
        <v>127743</v>
      </c>
      <c r="C363" s="47" t="s">
        <v>7</v>
      </c>
      <c r="D363" s="123">
        <f>SUMIF(B$3:B$3844,B363,M$3:M$3844)/(SUMIF(B$3:B$3844,B363,J$3:J$3844))</f>
        <v>0.63185358674778802</v>
      </c>
      <c r="E363" s="47">
        <v>37231</v>
      </c>
      <c r="F363" s="48" t="s">
        <v>177</v>
      </c>
      <c r="G363" s="117"/>
      <c r="H363" s="117"/>
      <c r="I363" s="40">
        <v>371</v>
      </c>
      <c r="J363" s="124">
        <v>1312</v>
      </c>
      <c r="K363" s="118"/>
      <c r="L363" s="119"/>
      <c r="M363" s="110">
        <f>IF(L363="",I363,(MIN(J363,(L363*1.6*J363))))</f>
        <v>371</v>
      </c>
      <c r="N363" s="111">
        <f>IF(M363=0,0,(M363/J363))</f>
        <v>0.28277439024390244</v>
      </c>
    </row>
    <row r="364" spans="2:14">
      <c r="B364" s="73">
        <v>127743</v>
      </c>
      <c r="C364" s="23" t="s">
        <v>7</v>
      </c>
      <c r="D364" s="123">
        <f>SUMIF(B$3:B$3844,B364,M$3:M$3844)/(SUMIF(B$3:B$3844,B364,J$3:J$3844))</f>
        <v>0.63185358674778802</v>
      </c>
      <c r="E364" s="23">
        <v>37253</v>
      </c>
      <c r="F364" s="46" t="s">
        <v>178</v>
      </c>
      <c r="G364" s="117"/>
      <c r="H364" s="117"/>
      <c r="I364" s="45">
        <v>1629</v>
      </c>
      <c r="J364" s="45">
        <v>2440</v>
      </c>
      <c r="K364" s="118"/>
      <c r="L364" s="119"/>
      <c r="M364" s="110">
        <f>IF(L364="",I364,(MIN(J364,(L364*1.6*J364))))</f>
        <v>1629</v>
      </c>
      <c r="N364" s="111">
        <f>IF(M364=0,0,(M364/J364))</f>
        <v>0.66762295081967216</v>
      </c>
    </row>
    <row r="365" spans="2:14">
      <c r="B365" s="72">
        <v>127743</v>
      </c>
      <c r="C365" s="47" t="s">
        <v>7</v>
      </c>
      <c r="D365" s="123">
        <f>SUMIF(B$3:B$3844,B365,M$3:M$3844)/(SUMIF(B$3:B$3844,B365,J$3:J$3844))</f>
        <v>0.63185358674778802</v>
      </c>
      <c r="E365" s="47">
        <v>37184</v>
      </c>
      <c r="F365" s="48" t="s">
        <v>179</v>
      </c>
      <c r="G365" s="117"/>
      <c r="H365" s="117"/>
      <c r="I365" s="40">
        <v>496</v>
      </c>
      <c r="J365" s="40">
        <v>536</v>
      </c>
      <c r="K365" s="118"/>
      <c r="L365" s="119"/>
      <c r="M365" s="110">
        <f>IF(L365="",I365,(MIN(J365,(L365*1.6*J365))))</f>
        <v>496</v>
      </c>
      <c r="N365" s="111">
        <f>IF(M365=0,0,(M365/J365))</f>
        <v>0.92537313432835822</v>
      </c>
    </row>
    <row r="366" spans="2:14">
      <c r="B366" s="73">
        <v>127743</v>
      </c>
      <c r="C366" s="23" t="s">
        <v>7</v>
      </c>
      <c r="D366" s="123">
        <f>SUMIF(B$3:B$3844,B366,M$3:M$3844)/(SUMIF(B$3:B$3844,B366,J$3:J$3844))</f>
        <v>0.63185358674778802</v>
      </c>
      <c r="E366" s="23">
        <v>37155</v>
      </c>
      <c r="F366" s="46" t="s">
        <v>180</v>
      </c>
      <c r="G366" s="117"/>
      <c r="H366" s="117"/>
      <c r="I366" s="45">
        <v>1624</v>
      </c>
      <c r="J366" s="45">
        <v>2330</v>
      </c>
      <c r="K366" s="118"/>
      <c r="L366" s="119"/>
      <c r="M366" s="110">
        <f>IF(L366="",I366,(MIN(J366,(L366*1.6*J366))))</f>
        <v>1624</v>
      </c>
      <c r="N366" s="111">
        <f>IF(M366=0,0,(M366/J366))</f>
        <v>0.6969957081545064</v>
      </c>
    </row>
    <row r="367" spans="2:14">
      <c r="B367" s="72">
        <v>127743</v>
      </c>
      <c r="C367" s="47" t="s">
        <v>7</v>
      </c>
      <c r="D367" s="123">
        <f>SUMIF(B$3:B$3844,B367,M$3:M$3844)/(SUMIF(B$3:B$3844,B367,J$3:J$3844))</f>
        <v>0.63185358674778802</v>
      </c>
      <c r="E367" s="47">
        <v>37162</v>
      </c>
      <c r="F367" s="48" t="s">
        <v>181</v>
      </c>
      <c r="G367" s="117"/>
      <c r="H367" s="117"/>
      <c r="I367" s="40">
        <v>585</v>
      </c>
      <c r="J367" s="40">
        <v>793</v>
      </c>
      <c r="K367" s="118"/>
      <c r="L367" s="119"/>
      <c r="M367" s="110">
        <f>IF(L367="",I367,(MIN(J367,(L367*1.6*J367))))</f>
        <v>585</v>
      </c>
      <c r="N367" s="111">
        <f>IF(M367=0,0,(M367/J367))</f>
        <v>0.73770491803278693</v>
      </c>
    </row>
    <row r="368" spans="2:14">
      <c r="B368" s="73">
        <v>127743</v>
      </c>
      <c r="C368" s="23" t="s">
        <v>7</v>
      </c>
      <c r="D368" s="123">
        <f>SUMIF(B$3:B$3844,B368,M$3:M$3844)/(SUMIF(B$3:B$3844,B368,J$3:J$3844))</f>
        <v>0.63185358674778802</v>
      </c>
      <c r="E368" s="23">
        <v>37187</v>
      </c>
      <c r="F368" s="46" t="s">
        <v>182</v>
      </c>
      <c r="G368" s="117"/>
      <c r="H368" s="117"/>
      <c r="I368" s="41">
        <v>302</v>
      </c>
      <c r="J368" s="41">
        <v>544</v>
      </c>
      <c r="K368" s="118"/>
      <c r="L368" s="119"/>
      <c r="M368" s="110">
        <f>IF(L368="",I368,(MIN(J368,(L368*1.6*J368))))</f>
        <v>302</v>
      </c>
      <c r="N368" s="111">
        <f>IF(M368=0,0,(M368/J368))</f>
        <v>0.55514705882352944</v>
      </c>
    </row>
    <row r="369" spans="2:14">
      <c r="B369" s="72">
        <v>127743</v>
      </c>
      <c r="C369" s="47" t="s">
        <v>7</v>
      </c>
      <c r="D369" s="123">
        <f>SUMIF(B$3:B$3844,B369,M$3:M$3844)/(SUMIF(B$3:B$3844,B369,J$3:J$3844))</f>
        <v>0.63185358674778802</v>
      </c>
      <c r="E369" s="47">
        <v>127716</v>
      </c>
      <c r="F369" s="48" t="s">
        <v>183</v>
      </c>
      <c r="G369" s="117"/>
      <c r="H369" s="117"/>
      <c r="I369" s="40"/>
      <c r="J369" s="40" t="s">
        <v>264</v>
      </c>
      <c r="K369" s="118"/>
      <c r="L369" s="119"/>
      <c r="M369" s="110">
        <f>IF(L369="",I369,(MIN(J369,(L369*1.6*J369))))</f>
        <v>0</v>
      </c>
      <c r="N369" s="111">
        <f>IF(M369=0,0,(M369/J369))</f>
        <v>0</v>
      </c>
    </row>
    <row r="370" spans="2:14">
      <c r="B370" s="73">
        <v>127743</v>
      </c>
      <c r="C370" s="23" t="s">
        <v>7</v>
      </c>
      <c r="D370" s="123">
        <f>SUMIF(B$3:B$3844,B370,M$3:M$3844)/(SUMIF(B$3:B$3844,B370,J$3:J$3844))</f>
        <v>0.63185358674778802</v>
      </c>
      <c r="E370" s="23">
        <v>36530</v>
      </c>
      <c r="F370" s="46" t="s">
        <v>184</v>
      </c>
      <c r="G370" s="117"/>
      <c r="H370" s="117"/>
      <c r="I370" s="41">
        <v>491</v>
      </c>
      <c r="J370" s="41">
        <v>528</v>
      </c>
      <c r="K370" s="118"/>
      <c r="L370" s="119"/>
      <c r="M370" s="110">
        <f>IF(L370="",I370,(MIN(J370,(L370*1.6*J370))))</f>
        <v>491</v>
      </c>
      <c r="N370" s="111">
        <f>IF(M370=0,0,(M370/J370))</f>
        <v>0.92992424242424243</v>
      </c>
    </row>
    <row r="371" spans="2:14">
      <c r="B371" s="72">
        <v>127743</v>
      </c>
      <c r="C371" s="47" t="s">
        <v>7</v>
      </c>
      <c r="D371" s="123">
        <f>SUMIF(B$3:B$3844,B371,M$3:M$3844)/(SUMIF(B$3:B$3844,B371,J$3:J$3844))</f>
        <v>0.63185358674778802</v>
      </c>
      <c r="E371" s="47">
        <v>207877</v>
      </c>
      <c r="F371" s="48" t="s">
        <v>185</v>
      </c>
      <c r="G371" s="117"/>
      <c r="H371" s="117"/>
      <c r="I371" s="40">
        <v>511</v>
      </c>
      <c r="J371" s="124">
        <v>1206</v>
      </c>
      <c r="K371" s="118"/>
      <c r="L371" s="119"/>
      <c r="M371" s="110">
        <f>IF(L371="",I371,(MIN(J371,(L371*1.6*J371))))</f>
        <v>511</v>
      </c>
      <c r="N371" s="111">
        <f>IF(M371=0,0,(M371/J371))</f>
        <v>0.42371475953565507</v>
      </c>
    </row>
    <row r="372" spans="2:14">
      <c r="B372" s="73">
        <v>127743</v>
      </c>
      <c r="C372" s="23" t="s">
        <v>7</v>
      </c>
      <c r="D372" s="123">
        <f>SUMIF(B$3:B$3844,B372,M$3:M$3844)/(SUMIF(B$3:B$3844,B372,J$3:J$3844))</f>
        <v>0.63185358674778802</v>
      </c>
      <c r="E372" s="23">
        <v>36526</v>
      </c>
      <c r="F372" s="46" t="s">
        <v>186</v>
      </c>
      <c r="G372" s="117"/>
      <c r="H372" s="117"/>
      <c r="I372" s="41">
        <v>870</v>
      </c>
      <c r="J372" s="41">
        <v>992</v>
      </c>
      <c r="K372" s="118"/>
      <c r="L372" s="119"/>
      <c r="M372" s="110">
        <f>IF(L372="",I372,(MIN(J372,(L372*1.6*J372))))</f>
        <v>870</v>
      </c>
      <c r="N372" s="111">
        <f>IF(M372=0,0,(M372/J372))</f>
        <v>0.87701612903225812</v>
      </c>
    </row>
    <row r="373" spans="2:14">
      <c r="B373" s="72">
        <v>127743</v>
      </c>
      <c r="C373" s="47" t="s">
        <v>7</v>
      </c>
      <c r="D373" s="123">
        <f>SUMIF(B$3:B$3844,B373,M$3:M$3844)/(SUMIF(B$3:B$3844,B373,J$3:J$3844))</f>
        <v>0.63185358674778802</v>
      </c>
      <c r="E373" s="47">
        <v>37424</v>
      </c>
      <c r="F373" s="48" t="s">
        <v>187</v>
      </c>
      <c r="G373" s="117"/>
      <c r="H373" s="117"/>
      <c r="I373" s="40">
        <v>883</v>
      </c>
      <c r="J373" s="124">
        <v>1370</v>
      </c>
      <c r="K373" s="118"/>
      <c r="L373" s="119"/>
      <c r="M373" s="110">
        <f>IF(L373="",I373,(MIN(J373,(L373*1.6*J373))))</f>
        <v>883</v>
      </c>
      <c r="N373" s="111">
        <f>IF(M373=0,0,(M373/J373))</f>
        <v>0.64452554744525548</v>
      </c>
    </row>
    <row r="374" spans="2:14">
      <c r="B374" s="73">
        <v>127743</v>
      </c>
      <c r="C374" s="23" t="s">
        <v>7</v>
      </c>
      <c r="D374" s="123">
        <f>SUMIF(B$3:B$3844,B374,M$3:M$3844)/(SUMIF(B$3:B$3844,B374,J$3:J$3844))</f>
        <v>0.63185358674778802</v>
      </c>
      <c r="E374" s="23">
        <v>36602</v>
      </c>
      <c r="F374" s="46" t="s">
        <v>188</v>
      </c>
      <c r="G374" s="117"/>
      <c r="H374" s="117"/>
      <c r="I374" s="41">
        <v>533</v>
      </c>
      <c r="J374" s="41">
        <v>821</v>
      </c>
      <c r="K374" s="118"/>
      <c r="L374" s="119"/>
      <c r="M374" s="110">
        <f>IF(L374="",I374,(MIN(J374,(L374*1.6*J374))))</f>
        <v>533</v>
      </c>
      <c r="N374" s="111">
        <f>IF(M374=0,0,(M374/J374))</f>
        <v>0.64920828258221686</v>
      </c>
    </row>
    <row r="375" spans="2:14">
      <c r="B375" s="72">
        <v>127743</v>
      </c>
      <c r="C375" s="47" t="s">
        <v>7</v>
      </c>
      <c r="D375" s="123">
        <f>SUMIF(B$3:B$3844,B375,M$3:M$3844)/(SUMIF(B$3:B$3844,B375,J$3:J$3844))</f>
        <v>0.63185358674778802</v>
      </c>
      <c r="E375" s="47">
        <v>36604</v>
      </c>
      <c r="F375" s="48" t="s">
        <v>189</v>
      </c>
      <c r="G375" s="117"/>
      <c r="H375" s="117"/>
      <c r="I375" s="40">
        <v>667</v>
      </c>
      <c r="J375" s="124">
        <v>1177</v>
      </c>
      <c r="K375" s="118"/>
      <c r="L375" s="119"/>
      <c r="M375" s="110">
        <f>IF(L375="",I375,(MIN(J375,(L375*1.6*J375))))</f>
        <v>667</v>
      </c>
      <c r="N375" s="111">
        <f>IF(M375=0,0,(M375/J375))</f>
        <v>0.56669498725573497</v>
      </c>
    </row>
    <row r="376" spans="2:14">
      <c r="B376" s="73">
        <v>127743</v>
      </c>
      <c r="C376" s="23" t="s">
        <v>7</v>
      </c>
      <c r="D376" s="123">
        <f>SUMIF(B$3:B$3844,B376,M$3:M$3844)/(SUMIF(B$3:B$3844,B376,J$3:J$3844))</f>
        <v>0.63185358674778802</v>
      </c>
      <c r="E376" s="23">
        <v>36580</v>
      </c>
      <c r="F376" s="46" t="s">
        <v>190</v>
      </c>
      <c r="G376" s="117"/>
      <c r="H376" s="117"/>
      <c r="I376" s="41">
        <v>114</v>
      </c>
      <c r="J376" s="41">
        <v>669</v>
      </c>
      <c r="K376" s="118"/>
      <c r="L376" s="119"/>
      <c r="M376" s="110">
        <f>IF(L376="",I376,(MIN(J376,(L376*1.6*J376))))</f>
        <v>114</v>
      </c>
      <c r="N376" s="111">
        <f>IF(M376=0,0,(M376/J376))</f>
        <v>0.17040358744394618</v>
      </c>
    </row>
    <row r="377" spans="2:14">
      <c r="B377" s="72">
        <v>127743</v>
      </c>
      <c r="C377" s="47" t="s">
        <v>7</v>
      </c>
      <c r="D377" s="123">
        <f>SUMIF(B$3:B$3844,B377,M$3:M$3844)/(SUMIF(B$3:B$3844,B377,J$3:J$3844))</f>
        <v>0.63185358674778802</v>
      </c>
      <c r="E377" s="47">
        <v>37139</v>
      </c>
      <c r="F377" s="48" t="s">
        <v>191</v>
      </c>
      <c r="G377" s="117"/>
      <c r="H377" s="117"/>
      <c r="I377" s="40">
        <v>608</v>
      </c>
      <c r="J377" s="40">
        <v>636</v>
      </c>
      <c r="K377" s="118"/>
      <c r="L377" s="119"/>
      <c r="M377" s="110">
        <f>IF(L377="",I377,(MIN(J377,(L377*1.6*J377))))</f>
        <v>608</v>
      </c>
      <c r="N377" s="111">
        <f>IF(M377=0,0,(M377/J377))</f>
        <v>0.95597484276729561</v>
      </c>
    </row>
    <row r="378" spans="2:14">
      <c r="B378" s="73">
        <v>127743</v>
      </c>
      <c r="C378" s="23" t="s">
        <v>7</v>
      </c>
      <c r="D378" s="123">
        <f>SUMIF(B$3:B$3844,B378,M$3:M$3844)/(SUMIF(B$3:B$3844,B378,J$3:J$3844))</f>
        <v>0.63185358674778802</v>
      </c>
      <c r="E378" s="23">
        <v>36607</v>
      </c>
      <c r="F378" s="46" t="s">
        <v>192</v>
      </c>
      <c r="G378" s="117"/>
      <c r="H378" s="117"/>
      <c r="I378" s="41">
        <v>297</v>
      </c>
      <c r="J378" s="41">
        <v>775</v>
      </c>
      <c r="K378" s="118"/>
      <c r="L378" s="119"/>
      <c r="M378" s="110">
        <f>IF(L378="",I378,(MIN(J378,(L378*1.6*J378))))</f>
        <v>297</v>
      </c>
      <c r="N378" s="111">
        <f>IF(M378=0,0,(M378/J378))</f>
        <v>0.38322580645161292</v>
      </c>
    </row>
    <row r="379" spans="2:14">
      <c r="B379" s="72">
        <v>127743</v>
      </c>
      <c r="C379" s="47" t="s">
        <v>7</v>
      </c>
      <c r="D379" s="123">
        <f>SUMIF(B$3:B$3844,B379,M$3:M$3844)/(SUMIF(B$3:B$3844,B379,J$3:J$3844))</f>
        <v>0.63185358674778802</v>
      </c>
      <c r="E379" s="47">
        <v>16022177</v>
      </c>
      <c r="F379" s="48" t="s">
        <v>193</v>
      </c>
      <c r="G379" s="117"/>
      <c r="H379" s="117"/>
      <c r="I379" s="40"/>
      <c r="J379" s="40" t="s">
        <v>264</v>
      </c>
      <c r="K379" s="118"/>
      <c r="L379" s="119"/>
      <c r="M379" s="110">
        <f>IF(L379="",I379,(MIN(J379,(L379*1.6*J379))))</f>
        <v>0</v>
      </c>
      <c r="N379" s="111">
        <f>IF(M379=0,0,(M379/J379))</f>
        <v>0</v>
      </c>
    </row>
    <row r="380" spans="2:14">
      <c r="B380" s="73">
        <v>127743</v>
      </c>
      <c r="C380" s="23" t="s">
        <v>7</v>
      </c>
      <c r="D380" s="123">
        <f>SUMIF(B$3:B$3844,B380,M$3:M$3844)/(SUMIF(B$3:B$3844,B380,J$3:J$3844))</f>
        <v>0.63185358674778802</v>
      </c>
      <c r="E380" s="23">
        <v>37113</v>
      </c>
      <c r="F380" s="46" t="s">
        <v>194</v>
      </c>
      <c r="G380" s="117"/>
      <c r="H380" s="117"/>
      <c r="I380" s="41">
        <v>514</v>
      </c>
      <c r="J380" s="41">
        <v>525</v>
      </c>
      <c r="K380" s="118"/>
      <c r="L380" s="119"/>
      <c r="M380" s="110">
        <f>IF(L380="",I380,(MIN(J380,(L380*1.6*J380))))</f>
        <v>514</v>
      </c>
      <c r="N380" s="111">
        <f>IF(M380=0,0,(M380/J380))</f>
        <v>0.97904761904761906</v>
      </c>
    </row>
    <row r="381" spans="2:14">
      <c r="B381" s="72">
        <v>127743</v>
      </c>
      <c r="C381" s="47" t="s">
        <v>7</v>
      </c>
      <c r="D381" s="123">
        <f>SUMIF(B$3:B$3844,B381,M$3:M$3844)/(SUMIF(B$3:B$3844,B381,J$3:J$3844))</f>
        <v>0.63185358674778802</v>
      </c>
      <c r="E381" s="47">
        <v>37151</v>
      </c>
      <c r="F381" s="48" t="s">
        <v>195</v>
      </c>
      <c r="G381" s="117"/>
      <c r="H381" s="117"/>
      <c r="I381" s="40">
        <v>824</v>
      </c>
      <c r="J381" s="40">
        <v>849</v>
      </c>
      <c r="K381" s="118"/>
      <c r="L381" s="119"/>
      <c r="M381" s="110">
        <f>IF(L381="",I381,(MIN(J381,(L381*1.6*J381))))</f>
        <v>824</v>
      </c>
      <c r="N381" s="111">
        <f>IF(M381=0,0,(M381/J381))</f>
        <v>0.97055359246171968</v>
      </c>
    </row>
    <row r="382" spans="2:14">
      <c r="B382" s="73">
        <v>127743</v>
      </c>
      <c r="C382" s="23" t="s">
        <v>7</v>
      </c>
      <c r="D382" s="123">
        <f>SUMIF(B$3:B$3844,B382,M$3:M$3844)/(SUMIF(B$3:B$3844,B382,J$3:J$3844))</f>
        <v>0.63185358674778802</v>
      </c>
      <c r="E382" s="23">
        <v>36524</v>
      </c>
      <c r="F382" s="46" t="s">
        <v>196</v>
      </c>
      <c r="G382" s="117"/>
      <c r="H382" s="117"/>
      <c r="I382" s="41">
        <v>463</v>
      </c>
      <c r="J382" s="41">
        <v>481</v>
      </c>
      <c r="K382" s="118"/>
      <c r="L382" s="119"/>
      <c r="M382" s="110">
        <f>IF(L382="",I382,(MIN(J382,(L382*1.6*J382))))</f>
        <v>463</v>
      </c>
      <c r="N382" s="111">
        <f>IF(M382=0,0,(M382/J382))</f>
        <v>0.96257796257796258</v>
      </c>
    </row>
    <row r="383" spans="2:14">
      <c r="B383" s="72">
        <v>127743</v>
      </c>
      <c r="C383" s="47" t="s">
        <v>7</v>
      </c>
      <c r="D383" s="123">
        <f>SUMIF(B$3:B$3844,B383,M$3:M$3844)/(SUMIF(B$3:B$3844,B383,J$3:J$3844))</f>
        <v>0.63185358674778802</v>
      </c>
      <c r="E383" s="47">
        <v>37256</v>
      </c>
      <c r="F383" s="48" t="s">
        <v>197</v>
      </c>
      <c r="G383" s="117"/>
      <c r="H383" s="117"/>
      <c r="I383" s="40">
        <v>369</v>
      </c>
      <c r="J383" s="40">
        <v>552</v>
      </c>
      <c r="K383" s="118"/>
      <c r="L383" s="119"/>
      <c r="M383" s="110">
        <f>IF(L383="",I383,(MIN(J383,(L383*1.6*J383))))</f>
        <v>369</v>
      </c>
      <c r="N383" s="111">
        <f>IF(M383=0,0,(M383/J383))</f>
        <v>0.66847826086956519</v>
      </c>
    </row>
    <row r="384" spans="2:14">
      <c r="B384" s="73">
        <v>127743</v>
      </c>
      <c r="C384" s="23" t="s">
        <v>7</v>
      </c>
      <c r="D384" s="123">
        <f>SUMIF(B$3:B$3844,B384,M$3:M$3844)/(SUMIF(B$3:B$3844,B384,J$3:J$3844))</f>
        <v>0.63185358674778802</v>
      </c>
      <c r="E384" s="23">
        <v>37211</v>
      </c>
      <c r="F384" s="46" t="s">
        <v>198</v>
      </c>
      <c r="G384" s="117"/>
      <c r="H384" s="117"/>
      <c r="I384" s="41">
        <v>533</v>
      </c>
      <c r="J384" s="45">
        <v>1026</v>
      </c>
      <c r="K384" s="118"/>
      <c r="L384" s="119"/>
      <c r="M384" s="110">
        <f>IF(L384="",I384,(MIN(J384,(L384*1.6*J384))))</f>
        <v>533</v>
      </c>
      <c r="N384" s="111">
        <f>IF(M384=0,0,(M384/J384))</f>
        <v>0.51949317738791423</v>
      </c>
    </row>
    <row r="385" spans="2:14">
      <c r="B385" s="72">
        <v>127743</v>
      </c>
      <c r="C385" s="47" t="s">
        <v>7</v>
      </c>
      <c r="D385" s="123">
        <f>SUMIF(B$3:B$3844,B385,M$3:M$3844)/(SUMIF(B$3:B$3844,B385,J$3:J$3844))</f>
        <v>0.63185358674778802</v>
      </c>
      <c r="E385" s="47">
        <v>36576</v>
      </c>
      <c r="F385" s="48" t="s">
        <v>199</v>
      </c>
      <c r="G385" s="117"/>
      <c r="H385" s="117"/>
      <c r="I385" s="40">
        <v>622</v>
      </c>
      <c r="J385" s="124">
        <v>1158</v>
      </c>
      <c r="K385" s="118"/>
      <c r="L385" s="119"/>
      <c r="M385" s="110">
        <f>IF(L385="",I385,(MIN(J385,(L385*1.6*J385))))</f>
        <v>622</v>
      </c>
      <c r="N385" s="111">
        <f>IF(M385=0,0,(M385/J385))</f>
        <v>0.53713298791018993</v>
      </c>
    </row>
    <row r="386" spans="2:14">
      <c r="B386" s="73">
        <v>127743</v>
      </c>
      <c r="C386" s="23" t="s">
        <v>7</v>
      </c>
      <c r="D386" s="123">
        <f>SUMIF(B$3:B$3844,B386,M$3:M$3844)/(SUMIF(B$3:B$3844,B386,J$3:J$3844))</f>
        <v>0.63185358674778802</v>
      </c>
      <c r="E386" s="23">
        <v>36428</v>
      </c>
      <c r="F386" s="46" t="s">
        <v>200</v>
      </c>
      <c r="G386" s="117"/>
      <c r="H386" s="117"/>
      <c r="I386" s="41">
        <v>726</v>
      </c>
      <c r="J386" s="41">
        <v>863</v>
      </c>
      <c r="K386" s="118"/>
      <c r="L386" s="119"/>
      <c r="M386" s="110">
        <f>IF(L386="",I386,(MIN(J386,(L386*1.6*J386))))</f>
        <v>726</v>
      </c>
      <c r="N386" s="111">
        <f>IF(M386=0,0,(M386/J386))</f>
        <v>0.84125144843568944</v>
      </c>
    </row>
    <row r="387" spans="2:14">
      <c r="B387" s="72">
        <v>127743</v>
      </c>
      <c r="C387" s="47" t="s">
        <v>7</v>
      </c>
      <c r="D387" s="123">
        <f>SUMIF(B$3:B$3844,B387,M$3:M$3844)/(SUMIF(B$3:B$3844,B387,J$3:J$3844))</f>
        <v>0.63185358674778802</v>
      </c>
      <c r="E387" s="47">
        <v>37178</v>
      </c>
      <c r="F387" s="48" t="s">
        <v>201</v>
      </c>
      <c r="G387" s="117"/>
      <c r="H387" s="117"/>
      <c r="I387" s="40">
        <v>266</v>
      </c>
      <c r="J387" s="40">
        <v>317</v>
      </c>
      <c r="K387" s="118"/>
      <c r="L387" s="119"/>
      <c r="M387" s="110">
        <f>IF(L387="",I387,(MIN(J387,(L387*1.6*J387))))</f>
        <v>266</v>
      </c>
      <c r="N387" s="111">
        <f>IF(M387=0,0,(M387/J387))</f>
        <v>0.83911671924290221</v>
      </c>
    </row>
    <row r="388" spans="2:14">
      <c r="B388" s="73">
        <v>127743</v>
      </c>
      <c r="C388" s="23" t="s">
        <v>7</v>
      </c>
      <c r="D388" s="123">
        <f>SUMIF(B$3:B$3844,B388,M$3:M$3844)/(SUMIF(B$3:B$3844,B388,J$3:J$3844))</f>
        <v>0.63185358674778802</v>
      </c>
      <c r="E388" s="23">
        <v>37186</v>
      </c>
      <c r="F388" s="46" t="s">
        <v>202</v>
      </c>
      <c r="G388" s="117"/>
      <c r="H388" s="117"/>
      <c r="I388" s="41">
        <v>649</v>
      </c>
      <c r="J388" s="45">
        <v>1165</v>
      </c>
      <c r="K388" s="118"/>
      <c r="L388" s="119"/>
      <c r="M388" s="110">
        <f>IF(L388="",I388,(MIN(J388,(L388*1.6*J388))))</f>
        <v>649</v>
      </c>
      <c r="N388" s="111">
        <f>IF(M388=0,0,(M388/J388))</f>
        <v>0.55708154506437768</v>
      </c>
    </row>
    <row r="389" spans="2:14">
      <c r="B389" s="72">
        <v>127743</v>
      </c>
      <c r="C389" s="47" t="s">
        <v>7</v>
      </c>
      <c r="D389" s="123">
        <f>SUMIF(B$3:B$3844,B389,M$3:M$3844)/(SUMIF(B$3:B$3844,B389,J$3:J$3844))</f>
        <v>0.63185358674778802</v>
      </c>
      <c r="E389" s="47">
        <v>36377</v>
      </c>
      <c r="F389" s="48" t="s">
        <v>203</v>
      </c>
      <c r="G389" s="117"/>
      <c r="H389" s="117"/>
      <c r="I389" s="40">
        <v>433</v>
      </c>
      <c r="J389" s="40">
        <v>536</v>
      </c>
      <c r="K389" s="118"/>
      <c r="L389" s="119"/>
      <c r="M389" s="110">
        <f>IF(L389="",I389,(MIN(J389,(L389*1.6*J389))))</f>
        <v>433</v>
      </c>
      <c r="N389" s="111">
        <f>IF(M389=0,0,(M389/J389))</f>
        <v>0.80783582089552242</v>
      </c>
    </row>
    <row r="390" spans="2:14">
      <c r="B390" s="73">
        <v>127743</v>
      </c>
      <c r="C390" s="23" t="s">
        <v>7</v>
      </c>
      <c r="D390" s="123">
        <f>SUMIF(B$3:B$3844,B390,M$3:M$3844)/(SUMIF(B$3:B$3844,B390,J$3:J$3844))</f>
        <v>0.63185358674778802</v>
      </c>
      <c r="E390" s="23">
        <v>36411</v>
      </c>
      <c r="F390" s="46" t="s">
        <v>204</v>
      </c>
      <c r="G390" s="117"/>
      <c r="H390" s="117"/>
      <c r="I390" s="41">
        <v>509</v>
      </c>
      <c r="J390" s="41">
        <v>680</v>
      </c>
      <c r="K390" s="118"/>
      <c r="L390" s="119"/>
      <c r="M390" s="110">
        <f>IF(L390="",I390,(MIN(J390,(L390*1.6*J390))))</f>
        <v>509</v>
      </c>
      <c r="N390" s="111">
        <f>IF(M390=0,0,(M390/J390))</f>
        <v>0.74852941176470589</v>
      </c>
    </row>
    <row r="391" spans="2:14">
      <c r="B391" s="72">
        <v>127743</v>
      </c>
      <c r="C391" s="47" t="s">
        <v>7</v>
      </c>
      <c r="D391" s="123">
        <f>SUMIF(B$3:B$3844,B391,M$3:M$3844)/(SUMIF(B$3:B$3844,B391,J$3:J$3844))</f>
        <v>0.63185358674778802</v>
      </c>
      <c r="E391" s="47">
        <v>36376</v>
      </c>
      <c r="F391" s="48" t="s">
        <v>205</v>
      </c>
      <c r="G391" s="117"/>
      <c r="H391" s="117"/>
      <c r="I391" s="40">
        <v>195</v>
      </c>
      <c r="J391" s="40">
        <v>322</v>
      </c>
      <c r="K391" s="118"/>
      <c r="L391" s="119"/>
      <c r="M391" s="110">
        <f>IF(L391="",I391,(MIN(J391,(L391*1.6*J391))))</f>
        <v>195</v>
      </c>
      <c r="N391" s="111">
        <f>IF(M391=0,0,(M391/J391))</f>
        <v>0.60559006211180122</v>
      </c>
    </row>
    <row r="392" spans="2:14">
      <c r="B392" s="73">
        <v>127743</v>
      </c>
      <c r="C392" s="23" t="s">
        <v>7</v>
      </c>
      <c r="D392" s="123">
        <f>SUMIF(B$3:B$3844,B392,M$3:M$3844)/(SUMIF(B$3:B$3844,B392,J$3:J$3844))</f>
        <v>0.63185358674778802</v>
      </c>
      <c r="E392" s="23">
        <v>207878</v>
      </c>
      <c r="F392" s="46" t="s">
        <v>206</v>
      </c>
      <c r="G392" s="117"/>
      <c r="H392" s="117"/>
      <c r="I392" s="41">
        <v>254</v>
      </c>
      <c r="J392" s="41">
        <v>472</v>
      </c>
      <c r="K392" s="118"/>
      <c r="L392" s="119"/>
      <c r="M392" s="110">
        <f>IF(L392="",I392,(MIN(J392,(L392*1.6*J392))))</f>
        <v>254</v>
      </c>
      <c r="N392" s="111">
        <f>IF(M392=0,0,(M392/J392))</f>
        <v>0.53813559322033899</v>
      </c>
    </row>
    <row r="393" spans="2:14">
      <c r="B393" s="72">
        <v>127743</v>
      </c>
      <c r="C393" s="47" t="s">
        <v>7</v>
      </c>
      <c r="D393" s="123">
        <f>SUMIF(B$3:B$3844,B393,M$3:M$3844)/(SUMIF(B$3:B$3844,B393,J$3:J$3844))</f>
        <v>0.63185358674778802</v>
      </c>
      <c r="E393" s="47">
        <v>36586</v>
      </c>
      <c r="F393" s="48" t="s">
        <v>207</v>
      </c>
      <c r="G393" s="117"/>
      <c r="H393" s="117"/>
      <c r="I393" s="40">
        <v>603</v>
      </c>
      <c r="J393" s="40">
        <v>681</v>
      </c>
      <c r="K393" s="118"/>
      <c r="L393" s="119"/>
      <c r="M393" s="110">
        <f>IF(L393="",I393,(MIN(J393,(L393*1.6*J393))))</f>
        <v>603</v>
      </c>
      <c r="N393" s="111">
        <f>IF(M393=0,0,(M393/J393))</f>
        <v>0.88546255506607929</v>
      </c>
    </row>
    <row r="394" spans="2:14">
      <c r="B394" s="73">
        <v>127743</v>
      </c>
      <c r="C394" s="23" t="s">
        <v>7</v>
      </c>
      <c r="D394" s="123">
        <f>SUMIF(B$3:B$3844,B394,M$3:M$3844)/(SUMIF(B$3:B$3844,B394,J$3:J$3844))</f>
        <v>0.63185358674778802</v>
      </c>
      <c r="E394" s="23">
        <v>36434</v>
      </c>
      <c r="F394" s="46" t="s">
        <v>208</v>
      </c>
      <c r="G394" s="117"/>
      <c r="H394" s="117"/>
      <c r="I394" s="41">
        <v>238</v>
      </c>
      <c r="J394" s="41">
        <v>598</v>
      </c>
      <c r="K394" s="118"/>
      <c r="L394" s="119"/>
      <c r="M394" s="110">
        <f>IF(L394="",I394,(MIN(J394,(L394*1.6*J394))))</f>
        <v>238</v>
      </c>
      <c r="N394" s="111">
        <f>IF(M394=0,0,(M394/J394))</f>
        <v>0.39799331103678931</v>
      </c>
    </row>
    <row r="395" spans="2:14">
      <c r="B395" s="72">
        <v>127743</v>
      </c>
      <c r="C395" s="47" t="s">
        <v>7</v>
      </c>
      <c r="D395" s="123">
        <f>SUMIF(B$3:B$3844,B395,M$3:M$3844)/(SUMIF(B$3:B$3844,B395,J$3:J$3844))</f>
        <v>0.63185358674778802</v>
      </c>
      <c r="E395" s="47">
        <v>37235</v>
      </c>
      <c r="F395" s="48" t="s">
        <v>209</v>
      </c>
      <c r="G395" s="117"/>
      <c r="H395" s="117"/>
      <c r="I395" s="40">
        <v>416</v>
      </c>
      <c r="J395" s="124">
        <v>1109</v>
      </c>
      <c r="K395" s="118"/>
      <c r="L395" s="119"/>
      <c r="M395" s="110">
        <f>IF(L395="",I395,(MIN(J395,(L395*1.6*J395))))</f>
        <v>416</v>
      </c>
      <c r="N395" s="111">
        <f>IF(M395=0,0,(M395/J395))</f>
        <v>0.37511271415689812</v>
      </c>
    </row>
    <row r="396" spans="2:14">
      <c r="B396" s="73">
        <v>127743</v>
      </c>
      <c r="C396" s="23" t="s">
        <v>7</v>
      </c>
      <c r="D396" s="123">
        <f>SUMIF(B$3:B$3844,B396,M$3:M$3844)/(SUMIF(B$3:B$3844,B396,J$3:J$3844))</f>
        <v>0.63185358674778802</v>
      </c>
      <c r="E396" s="23">
        <v>227246</v>
      </c>
      <c r="F396" s="46" t="s">
        <v>210</v>
      </c>
      <c r="G396" s="117"/>
      <c r="H396" s="117"/>
      <c r="I396" s="41">
        <v>232</v>
      </c>
      <c r="J396" s="41">
        <v>506</v>
      </c>
      <c r="K396" s="118"/>
      <c r="L396" s="119"/>
      <c r="M396" s="110">
        <f>IF(L396="",I396,(MIN(J396,(L396*1.6*J396))))</f>
        <v>232</v>
      </c>
      <c r="N396" s="111">
        <f>IF(M396=0,0,(M396/J396))</f>
        <v>0.45849802371541504</v>
      </c>
    </row>
    <row r="397" spans="2:14">
      <c r="B397" s="72">
        <v>127743</v>
      </c>
      <c r="C397" s="47" t="s">
        <v>7</v>
      </c>
      <c r="D397" s="123">
        <f>SUMIF(B$3:B$3844,B397,M$3:M$3844)/(SUMIF(B$3:B$3844,B397,J$3:J$3844))</f>
        <v>0.63185358674778802</v>
      </c>
      <c r="E397" s="47">
        <v>37240</v>
      </c>
      <c r="F397" s="48" t="s">
        <v>211</v>
      </c>
      <c r="G397" s="117"/>
      <c r="H397" s="117"/>
      <c r="I397" s="40">
        <v>477</v>
      </c>
      <c r="J397" s="124">
        <v>1460</v>
      </c>
      <c r="K397" s="118"/>
      <c r="L397" s="119"/>
      <c r="M397" s="110">
        <f>IF(L397="",I397,(MIN(J397,(L397*1.6*J397))))</f>
        <v>477</v>
      </c>
      <c r="N397" s="111">
        <f>IF(M397=0,0,(M397/J397))</f>
        <v>0.32671232876712331</v>
      </c>
    </row>
    <row r="398" spans="2:14">
      <c r="B398" s="73">
        <v>127743</v>
      </c>
      <c r="C398" s="23" t="s">
        <v>7</v>
      </c>
      <c r="D398" s="123">
        <f>SUMIF(B$3:B$3844,B398,M$3:M$3844)/(SUMIF(B$3:B$3844,B398,J$3:J$3844))</f>
        <v>0.63185358674778802</v>
      </c>
      <c r="E398" s="23">
        <v>16045309</v>
      </c>
      <c r="F398" s="46" t="s">
        <v>212</v>
      </c>
      <c r="G398" s="117"/>
      <c r="H398" s="117"/>
      <c r="I398" s="41"/>
      <c r="J398" s="41" t="s">
        <v>264</v>
      </c>
      <c r="K398" s="118"/>
      <c r="L398" s="119"/>
      <c r="M398" s="110">
        <f>IF(L398="",I398,(MIN(J398,(L398*1.6*J398))))</f>
        <v>0</v>
      </c>
      <c r="N398" s="111">
        <f>IF(M398=0,0,(M398/J398))</f>
        <v>0</v>
      </c>
    </row>
    <row r="399" spans="2:14">
      <c r="B399" s="72">
        <v>127743</v>
      </c>
      <c r="C399" s="47" t="s">
        <v>7</v>
      </c>
      <c r="D399" s="123">
        <f>SUMIF(B$3:B$3844,B399,M$3:M$3844)/(SUMIF(B$3:B$3844,B399,J$3:J$3844))</f>
        <v>0.63185358674778802</v>
      </c>
      <c r="E399" s="47">
        <v>16022182</v>
      </c>
      <c r="F399" s="48" t="s">
        <v>213</v>
      </c>
      <c r="G399" s="117"/>
      <c r="H399" s="117"/>
      <c r="I399" s="40"/>
      <c r="J399" s="40" t="s">
        <v>264</v>
      </c>
      <c r="K399" s="118"/>
      <c r="L399" s="119"/>
      <c r="M399" s="110">
        <f>IF(L399="",I399,(MIN(J399,(L399*1.6*J399))))</f>
        <v>0</v>
      </c>
      <c r="N399" s="111">
        <f>IF(M399=0,0,(M399/J399))</f>
        <v>0</v>
      </c>
    </row>
    <row r="400" spans="2:14">
      <c r="B400" s="73">
        <v>127743</v>
      </c>
      <c r="C400" s="23" t="s">
        <v>7</v>
      </c>
      <c r="D400" s="123">
        <f>SUMIF(B$3:B$3844,B400,M$3:M$3844)/(SUMIF(B$3:B$3844,B400,J$3:J$3844))</f>
        <v>0.63185358674778802</v>
      </c>
      <c r="E400" s="23">
        <v>36359</v>
      </c>
      <c r="F400" s="46" t="s">
        <v>214</v>
      </c>
      <c r="G400" s="117"/>
      <c r="H400" s="117"/>
      <c r="I400" s="45">
        <v>1461</v>
      </c>
      <c r="J400" s="45">
        <v>2108</v>
      </c>
      <c r="K400" s="118"/>
      <c r="L400" s="119"/>
      <c r="M400" s="110">
        <f>IF(L400="",I400,(MIN(J400,(L400*1.6*J400))))</f>
        <v>1461</v>
      </c>
      <c r="N400" s="111">
        <f>IF(M400=0,0,(M400/J400))</f>
        <v>0.69307400379506645</v>
      </c>
    </row>
    <row r="401" spans="2:14">
      <c r="B401" s="72">
        <v>127743</v>
      </c>
      <c r="C401" s="47" t="s">
        <v>7</v>
      </c>
      <c r="D401" s="123">
        <f>SUMIF(B$3:B$3844,B401,M$3:M$3844)/(SUMIF(B$3:B$3844,B401,J$3:J$3844))</f>
        <v>0.63185358674778802</v>
      </c>
      <c r="E401" s="47">
        <v>37189</v>
      </c>
      <c r="F401" s="48" t="s">
        <v>215</v>
      </c>
      <c r="G401" s="117"/>
      <c r="H401" s="117"/>
      <c r="I401" s="124">
        <v>1516</v>
      </c>
      <c r="J401" s="124">
        <v>2347</v>
      </c>
      <c r="K401" s="118"/>
      <c r="L401" s="119"/>
      <c r="M401" s="110">
        <f>IF(L401="",I401,(MIN(J401,(L401*1.6*J401))))</f>
        <v>1516</v>
      </c>
      <c r="N401" s="111">
        <f>IF(M401=0,0,(M401/J401))</f>
        <v>0.64593097571367708</v>
      </c>
    </row>
    <row r="402" spans="2:14">
      <c r="B402" s="73">
        <v>127743</v>
      </c>
      <c r="C402" s="23" t="s">
        <v>7</v>
      </c>
      <c r="D402" s="123">
        <f>SUMIF(B$3:B$3844,B402,M$3:M$3844)/(SUMIF(B$3:B$3844,B402,J$3:J$3844))</f>
        <v>0.63185358674778802</v>
      </c>
      <c r="E402" s="23">
        <v>37142</v>
      </c>
      <c r="F402" s="46" t="s">
        <v>216</v>
      </c>
      <c r="G402" s="117"/>
      <c r="H402" s="117"/>
      <c r="I402" s="41">
        <v>526</v>
      </c>
      <c r="J402" s="41">
        <v>656</v>
      </c>
      <c r="K402" s="118"/>
      <c r="L402" s="119"/>
      <c r="M402" s="110">
        <f>IF(L402="",I402,(MIN(J402,(L402*1.6*J402))))</f>
        <v>526</v>
      </c>
      <c r="N402" s="111">
        <f>IF(M402=0,0,(M402/J402))</f>
        <v>0.80182926829268297</v>
      </c>
    </row>
    <row r="403" spans="2:14">
      <c r="B403" s="72">
        <v>127743</v>
      </c>
      <c r="C403" s="47" t="s">
        <v>7</v>
      </c>
      <c r="D403" s="123">
        <f>SUMIF(B$3:B$3844,B403,M$3:M$3844)/(SUMIF(B$3:B$3844,B403,J$3:J$3844))</f>
        <v>0.63185358674778802</v>
      </c>
      <c r="E403" s="47">
        <v>36374</v>
      </c>
      <c r="F403" s="48" t="s">
        <v>217</v>
      </c>
      <c r="G403" s="117"/>
      <c r="H403" s="117"/>
      <c r="I403" s="40">
        <v>464</v>
      </c>
      <c r="J403" s="40">
        <v>602</v>
      </c>
      <c r="K403" s="118"/>
      <c r="L403" s="119"/>
      <c r="M403" s="110">
        <f>IF(L403="",I403,(MIN(J403,(L403*1.6*J403))))</f>
        <v>464</v>
      </c>
      <c r="N403" s="111">
        <f>IF(M403=0,0,(M403/J403))</f>
        <v>0.77076411960132896</v>
      </c>
    </row>
    <row r="404" spans="2:14">
      <c r="B404" s="73">
        <v>127743</v>
      </c>
      <c r="C404" s="23" t="s">
        <v>7</v>
      </c>
      <c r="D404" s="123">
        <f>SUMIF(B$3:B$3844,B404,M$3:M$3844)/(SUMIF(B$3:B$3844,B404,J$3:J$3844))</f>
        <v>0.63185358674778802</v>
      </c>
      <c r="E404" s="23">
        <v>37144</v>
      </c>
      <c r="F404" s="46" t="s">
        <v>218</v>
      </c>
      <c r="G404" s="117"/>
      <c r="H404" s="117"/>
      <c r="I404" s="45">
        <v>1164</v>
      </c>
      <c r="J404" s="45">
        <v>1407</v>
      </c>
      <c r="K404" s="118"/>
      <c r="L404" s="119"/>
      <c r="M404" s="110">
        <f>IF(L404="",I404,(MIN(J404,(L404*1.6*J404))))</f>
        <v>1164</v>
      </c>
      <c r="N404" s="111">
        <f>IF(M404=0,0,(M404/J404))</f>
        <v>0.8272921108742004</v>
      </c>
    </row>
    <row r="405" spans="2:14">
      <c r="B405" s="72">
        <v>127743</v>
      </c>
      <c r="C405" s="47" t="s">
        <v>7</v>
      </c>
      <c r="D405" s="123">
        <f>SUMIF(B$3:B$3844,B405,M$3:M$3844)/(SUMIF(B$3:B$3844,B405,J$3:J$3844))</f>
        <v>0.63185358674778802</v>
      </c>
      <c r="E405" s="47">
        <v>37125</v>
      </c>
      <c r="F405" s="48" t="s">
        <v>219</v>
      </c>
      <c r="G405" s="117"/>
      <c r="H405" s="117"/>
      <c r="I405" s="40">
        <v>479</v>
      </c>
      <c r="J405" s="40">
        <v>493</v>
      </c>
      <c r="K405" s="118"/>
      <c r="L405" s="119"/>
      <c r="M405" s="110">
        <f>IF(L405="",I405,(MIN(J405,(L405*1.6*J405))))</f>
        <v>479</v>
      </c>
      <c r="N405" s="111">
        <f>IF(M405=0,0,(M405/J405))</f>
        <v>0.97160243407707914</v>
      </c>
    </row>
    <row r="406" spans="2:14">
      <c r="B406" s="73">
        <v>127743</v>
      </c>
      <c r="C406" s="23" t="s">
        <v>7</v>
      </c>
      <c r="D406" s="123">
        <f>SUMIF(B$3:B$3844,B406,M$3:M$3844)/(SUMIF(B$3:B$3844,B406,J$3:J$3844))</f>
        <v>0.63185358674778802</v>
      </c>
      <c r="E406" s="23">
        <v>37086</v>
      </c>
      <c r="F406" s="46" t="s">
        <v>220</v>
      </c>
      <c r="G406" s="117"/>
      <c r="H406" s="117"/>
      <c r="I406" s="41">
        <v>895</v>
      </c>
      <c r="J406" s="45">
        <v>1244</v>
      </c>
      <c r="K406" s="118"/>
      <c r="L406" s="119"/>
      <c r="M406" s="110">
        <f>IF(L406="",I406,(MIN(J406,(L406*1.6*J406))))</f>
        <v>895</v>
      </c>
      <c r="N406" s="111">
        <f>IF(M406=0,0,(M406/J406))</f>
        <v>0.71945337620578775</v>
      </c>
    </row>
    <row r="407" spans="2:14">
      <c r="B407" s="72">
        <v>127743</v>
      </c>
      <c r="C407" s="47" t="s">
        <v>7</v>
      </c>
      <c r="D407" s="123">
        <f>SUMIF(B$3:B$3844,B407,M$3:M$3844)/(SUMIF(B$3:B$3844,B407,J$3:J$3844))</f>
        <v>0.63185358674778802</v>
      </c>
      <c r="E407" s="47">
        <v>227244</v>
      </c>
      <c r="F407" s="48" t="s">
        <v>221</v>
      </c>
      <c r="G407" s="117"/>
      <c r="H407" s="117"/>
      <c r="I407" s="40">
        <v>283</v>
      </c>
      <c r="J407" s="40">
        <v>797</v>
      </c>
      <c r="K407" s="118"/>
      <c r="L407" s="119"/>
      <c r="M407" s="110">
        <f>IF(L407="",I407,(MIN(J407,(L407*1.6*J407))))</f>
        <v>283</v>
      </c>
      <c r="N407" s="111">
        <f>IF(M407=0,0,(M407/J407))</f>
        <v>0.35508155583437895</v>
      </c>
    </row>
    <row r="408" spans="2:14">
      <c r="B408" s="73">
        <v>127743</v>
      </c>
      <c r="C408" s="23" t="s">
        <v>7</v>
      </c>
      <c r="D408" s="123">
        <f>SUMIF(B$3:B$3844,B408,M$3:M$3844)/(SUMIF(B$3:B$3844,B408,J$3:J$3844))</f>
        <v>0.63185358674778802</v>
      </c>
      <c r="E408" s="23">
        <v>36391</v>
      </c>
      <c r="F408" s="46" t="s">
        <v>222</v>
      </c>
      <c r="G408" s="117"/>
      <c r="H408" s="117"/>
      <c r="I408" s="41">
        <v>548</v>
      </c>
      <c r="J408" s="41">
        <v>628</v>
      </c>
      <c r="K408" s="118"/>
      <c r="L408" s="119"/>
      <c r="M408" s="110">
        <f>IF(L408="",I408,(MIN(J408,(L408*1.6*J408))))</f>
        <v>548</v>
      </c>
      <c r="N408" s="111">
        <f>IF(M408=0,0,(M408/J408))</f>
        <v>0.87261146496815289</v>
      </c>
    </row>
    <row r="409" spans="2:14">
      <c r="B409" s="72">
        <v>127743</v>
      </c>
      <c r="C409" s="47" t="s">
        <v>7</v>
      </c>
      <c r="D409" s="123">
        <f>SUMIF(B$3:B$3844,B409,M$3:M$3844)/(SUMIF(B$3:B$3844,B409,J$3:J$3844))</f>
        <v>0.63185358674778802</v>
      </c>
      <c r="E409" s="47">
        <v>224993</v>
      </c>
      <c r="F409" s="48" t="s">
        <v>223</v>
      </c>
      <c r="G409" s="117"/>
      <c r="H409" s="117"/>
      <c r="I409" s="40"/>
      <c r="J409" s="40" t="s">
        <v>264</v>
      </c>
      <c r="K409" s="118"/>
      <c r="L409" s="119"/>
      <c r="M409" s="110">
        <f>IF(L409="",I409,(MIN(J409,(L409*1.6*J409))))</f>
        <v>0</v>
      </c>
      <c r="N409" s="111">
        <f>IF(M409=0,0,(M409/J409))</f>
        <v>0</v>
      </c>
    </row>
    <row r="410" spans="2:14">
      <c r="B410" s="73">
        <v>127743</v>
      </c>
      <c r="C410" s="23" t="s">
        <v>7</v>
      </c>
      <c r="D410" s="123">
        <f>SUMIF(B$3:B$3844,B410,M$3:M$3844)/(SUMIF(B$3:B$3844,B410,J$3:J$3844))</f>
        <v>0.63185358674778802</v>
      </c>
      <c r="E410" s="23">
        <v>37197</v>
      </c>
      <c r="F410" s="46" t="s">
        <v>224</v>
      </c>
      <c r="G410" s="117"/>
      <c r="H410" s="117"/>
      <c r="I410" s="41">
        <v>648</v>
      </c>
      <c r="J410" s="41">
        <v>871</v>
      </c>
      <c r="K410" s="118"/>
      <c r="L410" s="119"/>
      <c r="M410" s="110">
        <f>IF(L410="",I410,(MIN(J410,(L410*1.6*J410))))</f>
        <v>648</v>
      </c>
      <c r="N410" s="111">
        <f>IF(M410=0,0,(M410/J410))</f>
        <v>0.74397244546498276</v>
      </c>
    </row>
    <row r="411" spans="2:14">
      <c r="B411" s="72">
        <v>127743</v>
      </c>
      <c r="C411" s="47" t="s">
        <v>7</v>
      </c>
      <c r="D411" s="123">
        <f>SUMIF(B$3:B$3844,B411,M$3:M$3844)/(SUMIF(B$3:B$3844,B411,J$3:J$3844))</f>
        <v>0.63185358674778802</v>
      </c>
      <c r="E411" s="47">
        <v>224984</v>
      </c>
      <c r="F411" s="48" t="s">
        <v>225</v>
      </c>
      <c r="G411" s="117"/>
      <c r="H411" s="117"/>
      <c r="I411" s="40"/>
      <c r="J411" s="40" t="s">
        <v>264</v>
      </c>
      <c r="K411" s="118"/>
      <c r="L411" s="119"/>
      <c r="M411" s="110">
        <f>IF(L411="",I411,(MIN(J411,(L411*1.6*J411))))</f>
        <v>0</v>
      </c>
      <c r="N411" s="111">
        <f>IF(M411=0,0,(M411/J411))</f>
        <v>0</v>
      </c>
    </row>
    <row r="412" spans="2:14">
      <c r="B412" s="73">
        <v>127743</v>
      </c>
      <c r="C412" s="23" t="s">
        <v>7</v>
      </c>
      <c r="D412" s="123">
        <f>SUMIF(B$3:B$3844,B412,M$3:M$3844)/(SUMIF(B$3:B$3844,B412,J$3:J$3844))</f>
        <v>0.63185358674778802</v>
      </c>
      <c r="E412" s="23">
        <v>36551</v>
      </c>
      <c r="F412" s="46" t="s">
        <v>226</v>
      </c>
      <c r="G412" s="117"/>
      <c r="H412" s="117"/>
      <c r="I412" s="41">
        <v>658</v>
      </c>
      <c r="J412" s="41">
        <v>694</v>
      </c>
      <c r="K412" s="118"/>
      <c r="L412" s="119"/>
      <c r="M412" s="110">
        <f>IF(L412="",I412,(MIN(J412,(L412*1.6*J412))))</f>
        <v>658</v>
      </c>
      <c r="N412" s="111">
        <f>IF(M412=0,0,(M412/J412))</f>
        <v>0.94812680115273773</v>
      </c>
    </row>
    <row r="413" spans="2:14">
      <c r="B413" s="72">
        <v>127743</v>
      </c>
      <c r="C413" s="47" t="s">
        <v>7</v>
      </c>
      <c r="D413" s="123">
        <f>SUMIF(B$3:B$3844,B413,M$3:M$3844)/(SUMIF(B$3:B$3844,B413,J$3:J$3844))</f>
        <v>0.63185358674778802</v>
      </c>
      <c r="E413" s="47">
        <v>37223</v>
      </c>
      <c r="F413" s="48" t="s">
        <v>227</v>
      </c>
      <c r="G413" s="117"/>
      <c r="H413" s="117"/>
      <c r="I413" s="40">
        <v>449</v>
      </c>
      <c r="J413" s="124">
        <v>1470</v>
      </c>
      <c r="K413" s="118"/>
      <c r="L413" s="119"/>
      <c r="M413" s="110">
        <f>IF(L413="",I413,(MIN(J413,(L413*1.6*J413))))</f>
        <v>449</v>
      </c>
      <c r="N413" s="111">
        <f>IF(M413=0,0,(M413/J413))</f>
        <v>0.30544217687074832</v>
      </c>
    </row>
    <row r="414" spans="2:14">
      <c r="B414" s="73">
        <v>127743</v>
      </c>
      <c r="C414" s="23" t="s">
        <v>7</v>
      </c>
      <c r="D414" s="123">
        <f>SUMIF(B$3:B$3844,B414,M$3:M$3844)/(SUMIF(B$3:B$3844,B414,J$3:J$3844))</f>
        <v>0.63185358674778802</v>
      </c>
      <c r="E414" s="23">
        <v>36409</v>
      </c>
      <c r="F414" s="46" t="s">
        <v>228</v>
      </c>
      <c r="G414" s="117"/>
      <c r="H414" s="117"/>
      <c r="I414" s="41">
        <v>73</v>
      </c>
      <c r="J414" s="41">
        <v>121</v>
      </c>
      <c r="K414" s="118"/>
      <c r="L414" s="119"/>
      <c r="M414" s="110">
        <f>IF(L414="",I414,(MIN(J414,(L414*1.6*J414))))</f>
        <v>73</v>
      </c>
      <c r="N414" s="111">
        <f>IF(M414=0,0,(M414/J414))</f>
        <v>0.60330578512396693</v>
      </c>
    </row>
    <row r="415" spans="2:14">
      <c r="B415" s="72">
        <v>127743</v>
      </c>
      <c r="C415" s="47" t="s">
        <v>7</v>
      </c>
      <c r="D415" s="123">
        <f>SUMIF(B$3:B$3844,B415,M$3:M$3844)/(SUMIF(B$3:B$3844,B415,J$3:J$3844))</f>
        <v>0.63185358674778802</v>
      </c>
      <c r="E415" s="47">
        <v>168258</v>
      </c>
      <c r="F415" s="48" t="s">
        <v>229</v>
      </c>
      <c r="G415" s="117"/>
      <c r="H415" s="117"/>
      <c r="I415" s="40">
        <v>458</v>
      </c>
      <c r="J415" s="40">
        <v>470</v>
      </c>
      <c r="K415" s="118"/>
      <c r="L415" s="119"/>
      <c r="M415" s="110">
        <f>IF(L415="",I415,(MIN(J415,(L415*1.6*J415))))</f>
        <v>458</v>
      </c>
      <c r="N415" s="111">
        <f>IF(M415=0,0,(M415/J415))</f>
        <v>0.97446808510638294</v>
      </c>
    </row>
    <row r="416" spans="2:14">
      <c r="B416" s="73">
        <v>127743</v>
      </c>
      <c r="C416" s="23" t="s">
        <v>7</v>
      </c>
      <c r="D416" s="123">
        <f>SUMIF(B$3:B$3844,B416,M$3:M$3844)/(SUMIF(B$3:B$3844,B416,J$3:J$3844))</f>
        <v>0.63185358674778802</v>
      </c>
      <c r="E416" s="23">
        <v>16022178</v>
      </c>
      <c r="F416" s="46" t="s">
        <v>230</v>
      </c>
      <c r="G416" s="117"/>
      <c r="H416" s="117"/>
      <c r="I416" s="41"/>
      <c r="J416" s="41" t="s">
        <v>264</v>
      </c>
      <c r="K416" s="118"/>
      <c r="L416" s="119"/>
      <c r="M416" s="110">
        <f>IF(L416="",I416,(MIN(J416,(L416*1.6*J416))))</f>
        <v>0</v>
      </c>
      <c r="N416" s="111">
        <f>IF(M416=0,0,(M416/J416))</f>
        <v>0</v>
      </c>
    </row>
    <row r="417" spans="2:14">
      <c r="B417" s="72">
        <v>127743</v>
      </c>
      <c r="C417" s="47" t="s">
        <v>7</v>
      </c>
      <c r="D417" s="123">
        <f>SUMIF(B$3:B$3844,B417,M$3:M$3844)/(SUMIF(B$3:B$3844,B417,J$3:J$3844))</f>
        <v>0.63185358674778802</v>
      </c>
      <c r="E417" s="47">
        <v>36608</v>
      </c>
      <c r="F417" s="48" t="s">
        <v>231</v>
      </c>
      <c r="G417" s="117"/>
      <c r="H417" s="117"/>
      <c r="I417" s="40">
        <v>711</v>
      </c>
      <c r="J417" s="124">
        <v>1328</v>
      </c>
      <c r="K417" s="118"/>
      <c r="L417" s="119"/>
      <c r="M417" s="110">
        <f>IF(L417="",I417,(MIN(J417,(L417*1.6*J417))))</f>
        <v>711</v>
      </c>
      <c r="N417" s="111">
        <f>IF(M417=0,0,(M417/J417))</f>
        <v>0.53539156626506024</v>
      </c>
    </row>
    <row r="418" spans="2:14">
      <c r="B418" s="73">
        <v>127743</v>
      </c>
      <c r="C418" s="23" t="s">
        <v>7</v>
      </c>
      <c r="D418" s="123">
        <f>SUMIF(B$3:B$3844,B418,M$3:M$3844)/(SUMIF(B$3:B$3844,B418,J$3:J$3844))</f>
        <v>0.63185358674778802</v>
      </c>
      <c r="E418" s="23">
        <v>16079031</v>
      </c>
      <c r="F418" s="46" t="s">
        <v>232</v>
      </c>
      <c r="G418" s="117"/>
      <c r="H418" s="117"/>
      <c r="I418" s="41"/>
      <c r="J418" s="41" t="s">
        <v>264</v>
      </c>
      <c r="K418" s="118"/>
      <c r="L418" s="119"/>
      <c r="M418" s="110">
        <f>IF(L418="",I418,(MIN(J418,(L418*1.6*J418))))</f>
        <v>0</v>
      </c>
      <c r="N418" s="111">
        <f>IF(M418=0,0,(M418/J418))</f>
        <v>0</v>
      </c>
    </row>
    <row r="419" spans="2:14">
      <c r="B419" s="72">
        <v>127743</v>
      </c>
      <c r="C419" s="47" t="s">
        <v>7</v>
      </c>
      <c r="D419" s="123">
        <f>SUMIF(B$3:B$3844,B419,M$3:M$3844)/(SUMIF(B$3:B$3844,B419,J$3:J$3844))</f>
        <v>0.63185358674778802</v>
      </c>
      <c r="E419" s="47">
        <v>37188</v>
      </c>
      <c r="F419" s="48" t="s">
        <v>233</v>
      </c>
      <c r="G419" s="117"/>
      <c r="H419" s="117"/>
      <c r="I419" s="40">
        <v>446</v>
      </c>
      <c r="J419" s="40">
        <v>915</v>
      </c>
      <c r="K419" s="118"/>
      <c r="L419" s="119"/>
      <c r="M419" s="110">
        <f>IF(L419="",I419,(MIN(J419,(L419*1.6*J419))))</f>
        <v>446</v>
      </c>
      <c r="N419" s="111">
        <f>IF(M419=0,0,(M419/J419))</f>
        <v>0.48743169398907105</v>
      </c>
    </row>
    <row r="420" spans="2:14">
      <c r="B420" s="73">
        <v>127743</v>
      </c>
      <c r="C420" s="23" t="s">
        <v>7</v>
      </c>
      <c r="D420" s="123">
        <f>SUMIF(B$3:B$3844,B420,M$3:M$3844)/(SUMIF(B$3:B$3844,B420,J$3:J$3844))</f>
        <v>0.63185358674778802</v>
      </c>
      <c r="E420" s="23">
        <v>234623</v>
      </c>
      <c r="F420" s="46" t="s">
        <v>234</v>
      </c>
      <c r="G420" s="117"/>
      <c r="H420" s="117"/>
      <c r="I420" s="41"/>
      <c r="J420" s="41" t="s">
        <v>264</v>
      </c>
      <c r="K420" s="118"/>
      <c r="L420" s="119"/>
      <c r="M420" s="110">
        <f>IF(L420="",I420,(MIN(J420,(L420*1.6*J420))))</f>
        <v>0</v>
      </c>
      <c r="N420" s="111">
        <f>IF(M420=0,0,(M420/J420))</f>
        <v>0</v>
      </c>
    </row>
    <row r="421" spans="2:14">
      <c r="B421" s="72">
        <v>127743</v>
      </c>
      <c r="C421" s="47" t="s">
        <v>7</v>
      </c>
      <c r="D421" s="123">
        <f>SUMIF(B$3:B$3844,B421,M$3:M$3844)/(SUMIF(B$3:B$3844,B421,J$3:J$3844))</f>
        <v>0.63185358674778802</v>
      </c>
      <c r="E421" s="47">
        <v>16022183</v>
      </c>
      <c r="F421" s="48" t="s">
        <v>235</v>
      </c>
      <c r="G421" s="117"/>
      <c r="H421" s="117"/>
      <c r="I421" s="40"/>
      <c r="J421" s="40" t="s">
        <v>264</v>
      </c>
      <c r="K421" s="118"/>
      <c r="L421" s="119"/>
      <c r="M421" s="110">
        <f>IF(L421="",I421,(MIN(J421,(L421*1.6*J421))))</f>
        <v>0</v>
      </c>
      <c r="N421" s="111">
        <f>IF(M421=0,0,(M421/J421))</f>
        <v>0</v>
      </c>
    </row>
    <row r="422" spans="2:14">
      <c r="B422" s="73">
        <v>127743</v>
      </c>
      <c r="C422" s="23" t="s">
        <v>7</v>
      </c>
      <c r="D422" s="123">
        <f>SUMIF(B$3:B$3844,B422,M$3:M$3844)/(SUMIF(B$3:B$3844,B422,J$3:J$3844))</f>
        <v>0.63185358674778802</v>
      </c>
      <c r="E422" s="23">
        <v>16022184</v>
      </c>
      <c r="F422" s="46" t="s">
        <v>236</v>
      </c>
      <c r="G422" s="117"/>
      <c r="H422" s="117"/>
      <c r="I422" s="41"/>
      <c r="J422" s="41" t="s">
        <v>264</v>
      </c>
      <c r="K422" s="118"/>
      <c r="L422" s="119"/>
      <c r="M422" s="110">
        <f>IF(L422="",I422,(MIN(J422,(L422*1.6*J422))))</f>
        <v>0</v>
      </c>
      <c r="N422" s="111">
        <f>IF(M422=0,0,(M422/J422))</f>
        <v>0</v>
      </c>
    </row>
    <row r="423" spans="2:14">
      <c r="B423" s="72">
        <v>127743</v>
      </c>
      <c r="C423" s="47" t="s">
        <v>7</v>
      </c>
      <c r="D423" s="123">
        <f>SUMIF(B$3:B$3844,B423,M$3:M$3844)/(SUMIF(B$3:B$3844,B423,J$3:J$3844))</f>
        <v>0.63185358674778802</v>
      </c>
      <c r="E423" s="47">
        <v>16022185</v>
      </c>
      <c r="F423" s="48" t="s">
        <v>237</v>
      </c>
      <c r="G423" s="117"/>
      <c r="H423" s="117"/>
      <c r="I423" s="40"/>
      <c r="J423" s="40" t="s">
        <v>264</v>
      </c>
      <c r="K423" s="118"/>
      <c r="L423" s="119"/>
      <c r="M423" s="110">
        <f>IF(L423="",I423,(MIN(J423,(L423*1.6*J423))))</f>
        <v>0</v>
      </c>
      <c r="N423" s="111">
        <f>IF(M423=0,0,(M423/J423))</f>
        <v>0</v>
      </c>
    </row>
    <row r="424" spans="2:14">
      <c r="B424" s="73">
        <v>127743</v>
      </c>
      <c r="C424" s="23" t="s">
        <v>7</v>
      </c>
      <c r="D424" s="123">
        <f>SUMIF(B$3:B$3844,B424,M$3:M$3844)/(SUMIF(B$3:B$3844,B424,J$3:J$3844))</f>
        <v>0.63185358674778802</v>
      </c>
      <c r="E424" s="23">
        <v>37150</v>
      </c>
      <c r="F424" s="46" t="s">
        <v>238</v>
      </c>
      <c r="G424" s="117"/>
      <c r="H424" s="117"/>
      <c r="I424" s="41">
        <v>791</v>
      </c>
      <c r="J424" s="41">
        <v>832</v>
      </c>
      <c r="K424" s="118"/>
      <c r="L424" s="119"/>
      <c r="M424" s="110">
        <f>IF(L424="",I424,(MIN(J424,(L424*1.6*J424))))</f>
        <v>791</v>
      </c>
      <c r="N424" s="111">
        <f>IF(M424=0,0,(M424/J424))</f>
        <v>0.95072115384615385</v>
      </c>
    </row>
    <row r="425" spans="2:14">
      <c r="B425" s="72">
        <v>127743</v>
      </c>
      <c r="C425" s="47" t="s">
        <v>7</v>
      </c>
      <c r="D425" s="123">
        <f>SUMIF(B$3:B$3844,B425,M$3:M$3844)/(SUMIF(B$3:B$3844,B425,J$3:J$3844))</f>
        <v>0.63185358674778802</v>
      </c>
      <c r="E425" s="47">
        <v>37081</v>
      </c>
      <c r="F425" s="48" t="s">
        <v>239</v>
      </c>
      <c r="G425" s="117"/>
      <c r="H425" s="117"/>
      <c r="I425" s="40">
        <v>219</v>
      </c>
      <c r="J425" s="40">
        <v>723</v>
      </c>
      <c r="K425" s="118"/>
      <c r="L425" s="119"/>
      <c r="M425" s="110">
        <f>IF(L425="",I425,(MIN(J425,(L425*1.6*J425))))</f>
        <v>219</v>
      </c>
      <c r="N425" s="111">
        <f>IF(M425=0,0,(M425/J425))</f>
        <v>0.30290456431535268</v>
      </c>
    </row>
    <row r="426" spans="2:14">
      <c r="B426" s="73">
        <v>127743</v>
      </c>
      <c r="C426" s="23" t="s">
        <v>7</v>
      </c>
      <c r="D426" s="123">
        <f>SUMIF(B$3:B$3844,B426,M$3:M$3844)/(SUMIF(B$3:B$3844,B426,J$3:J$3844))</f>
        <v>0.63185358674778802</v>
      </c>
      <c r="E426" s="23">
        <v>37133</v>
      </c>
      <c r="F426" s="46" t="s">
        <v>240</v>
      </c>
      <c r="G426" s="117"/>
      <c r="H426" s="117"/>
      <c r="I426" s="41">
        <v>625</v>
      </c>
      <c r="J426" s="41">
        <v>641</v>
      </c>
      <c r="K426" s="118"/>
      <c r="L426" s="119"/>
      <c r="M426" s="110">
        <f>IF(L426="",I426,(MIN(J426,(L426*1.6*J426))))</f>
        <v>625</v>
      </c>
      <c r="N426" s="111">
        <f>IF(M426=0,0,(M426/J426))</f>
        <v>0.9750390015600624</v>
      </c>
    </row>
    <row r="427" spans="2:14">
      <c r="B427" s="72">
        <v>127743</v>
      </c>
      <c r="C427" s="47" t="s">
        <v>7</v>
      </c>
      <c r="D427" s="123">
        <f>SUMIF(B$3:B$3844,B427,M$3:M$3844)/(SUMIF(B$3:B$3844,B427,J$3:J$3844))</f>
        <v>0.63185358674778802</v>
      </c>
      <c r="E427" s="47">
        <v>36433</v>
      </c>
      <c r="F427" s="48" t="s">
        <v>241</v>
      </c>
      <c r="G427" s="117"/>
      <c r="H427" s="117"/>
      <c r="I427" s="40">
        <v>554</v>
      </c>
      <c r="J427" s="124">
        <v>1084</v>
      </c>
      <c r="K427" s="118"/>
      <c r="L427" s="119"/>
      <c r="M427" s="110">
        <f>IF(L427="",I427,(MIN(J427,(L427*1.6*J427))))</f>
        <v>554</v>
      </c>
      <c r="N427" s="111">
        <f>IF(M427=0,0,(M427/J427))</f>
        <v>0.51107011070110697</v>
      </c>
    </row>
    <row r="428" spans="2:14">
      <c r="B428" s="73">
        <v>127743</v>
      </c>
      <c r="C428" s="23" t="s">
        <v>7</v>
      </c>
      <c r="D428" s="123">
        <f>SUMIF(B$3:B$3844,B428,M$3:M$3844)/(SUMIF(B$3:B$3844,B428,J$3:J$3844))</f>
        <v>0.63185358674778802</v>
      </c>
      <c r="E428" s="23">
        <v>36397</v>
      </c>
      <c r="F428" s="46" t="s">
        <v>242</v>
      </c>
      <c r="G428" s="117"/>
      <c r="H428" s="117"/>
      <c r="I428" s="41">
        <v>639</v>
      </c>
      <c r="J428" s="41">
        <v>673</v>
      </c>
      <c r="K428" s="118"/>
      <c r="L428" s="119"/>
      <c r="M428" s="110">
        <f>IF(L428="",I428,(MIN(J428,(L428*1.6*J428))))</f>
        <v>639</v>
      </c>
      <c r="N428" s="111">
        <f>IF(M428=0,0,(M428/J428))</f>
        <v>0.94947994056463592</v>
      </c>
    </row>
    <row r="429" spans="2:14">
      <c r="B429" s="72">
        <v>127743</v>
      </c>
      <c r="C429" s="47" t="s">
        <v>7</v>
      </c>
      <c r="D429" s="123">
        <f>SUMIF(B$3:B$3844,B429,M$3:M$3844)/(SUMIF(B$3:B$3844,B429,J$3:J$3844))</f>
        <v>0.63185358674778802</v>
      </c>
      <c r="E429" s="47">
        <v>37255</v>
      </c>
      <c r="F429" s="48" t="s">
        <v>243</v>
      </c>
      <c r="G429" s="117"/>
      <c r="H429" s="117"/>
      <c r="I429" s="40">
        <v>526</v>
      </c>
      <c r="J429" s="40">
        <v>744</v>
      </c>
      <c r="K429" s="118"/>
      <c r="L429" s="119"/>
      <c r="M429" s="110">
        <f>IF(L429="",I429,(MIN(J429,(L429*1.6*J429))))</f>
        <v>526</v>
      </c>
      <c r="N429" s="111">
        <f>IF(M429=0,0,(M429/J429))</f>
        <v>0.706989247311828</v>
      </c>
    </row>
    <row r="430" spans="2:14">
      <c r="B430" s="73">
        <v>127743</v>
      </c>
      <c r="C430" s="23" t="s">
        <v>7</v>
      </c>
      <c r="D430" s="123">
        <f>SUMIF(B$3:B$3844,B430,M$3:M$3844)/(SUMIF(B$3:B$3844,B430,J$3:J$3844))</f>
        <v>0.63185358674778802</v>
      </c>
      <c r="E430" s="23">
        <v>16047299</v>
      </c>
      <c r="F430" s="46" t="s">
        <v>244</v>
      </c>
      <c r="G430" s="117"/>
      <c r="H430" s="117"/>
      <c r="I430" s="41">
        <v>789</v>
      </c>
      <c r="J430" s="45">
        <v>2699</v>
      </c>
      <c r="K430" s="118"/>
      <c r="L430" s="119"/>
      <c r="M430" s="110">
        <f>IF(L430="",I430,(MIN(J430,(L430*1.6*J430))))</f>
        <v>789</v>
      </c>
      <c r="N430" s="111">
        <f>IF(M430=0,0,(M430/J430))</f>
        <v>0.29233049277510187</v>
      </c>
    </row>
    <row r="431" spans="2:14">
      <c r="B431" s="72">
        <v>127743</v>
      </c>
      <c r="C431" s="47" t="s">
        <v>7</v>
      </c>
      <c r="D431" s="123">
        <f>SUMIF(B$3:B$3844,B431,M$3:M$3844)/(SUMIF(B$3:B$3844,B431,J$3:J$3844))</f>
        <v>0.63185358674778802</v>
      </c>
      <c r="E431" s="47">
        <v>36420</v>
      </c>
      <c r="F431" s="48" t="s">
        <v>245</v>
      </c>
      <c r="G431" s="117"/>
      <c r="H431" s="117"/>
      <c r="I431" s="40">
        <v>567</v>
      </c>
      <c r="J431" s="40">
        <v>602</v>
      </c>
      <c r="K431" s="118"/>
      <c r="L431" s="119"/>
      <c r="M431" s="110">
        <f>IF(L431="",I431,(MIN(J431,(L431*1.6*J431))))</f>
        <v>567</v>
      </c>
      <c r="N431" s="111">
        <f>IF(M431=0,0,(M431/J431))</f>
        <v>0.94186046511627908</v>
      </c>
    </row>
    <row r="432" spans="2:14">
      <c r="B432" s="73">
        <v>127743</v>
      </c>
      <c r="C432" s="23" t="s">
        <v>7</v>
      </c>
      <c r="D432" s="123">
        <f>SUMIF(B$3:B$3844,B432,M$3:M$3844)/(SUMIF(B$3:B$3844,B432,J$3:J$3844))</f>
        <v>0.63185358674778802</v>
      </c>
      <c r="E432" s="23">
        <v>36569</v>
      </c>
      <c r="F432" s="46" t="s">
        <v>246</v>
      </c>
      <c r="G432" s="117"/>
      <c r="H432" s="117"/>
      <c r="I432" s="41">
        <v>590</v>
      </c>
      <c r="J432" s="45">
        <v>1215</v>
      </c>
      <c r="K432" s="118"/>
      <c r="L432" s="119"/>
      <c r="M432" s="110">
        <f>IF(L432="",I432,(MIN(J432,(L432*1.6*J432))))</f>
        <v>590</v>
      </c>
      <c r="N432" s="111">
        <f>IF(M432=0,0,(M432/J432))</f>
        <v>0.48559670781893005</v>
      </c>
    </row>
    <row r="433" spans="2:14">
      <c r="B433" s="72">
        <v>127743</v>
      </c>
      <c r="C433" s="47" t="s">
        <v>7</v>
      </c>
      <c r="D433" s="123">
        <f>SUMIF(B$3:B$3844,B433,M$3:M$3844)/(SUMIF(B$3:B$3844,B433,J$3:J$3844))</f>
        <v>0.63185358674778802</v>
      </c>
      <c r="E433" s="47">
        <v>37219</v>
      </c>
      <c r="F433" s="48" t="s">
        <v>247</v>
      </c>
      <c r="G433" s="117"/>
      <c r="H433" s="117"/>
      <c r="I433" s="124">
        <v>1261</v>
      </c>
      <c r="J433" s="124">
        <v>3117</v>
      </c>
      <c r="K433" s="118"/>
      <c r="L433" s="119"/>
      <c r="M433" s="110">
        <f>IF(L433="",I433,(MIN(J433,(L433*1.6*J433))))</f>
        <v>1261</v>
      </c>
      <c r="N433" s="111">
        <f>IF(M433=0,0,(M433/J433))</f>
        <v>0.40455566249598973</v>
      </c>
    </row>
    <row r="434" spans="2:14">
      <c r="B434" s="73">
        <v>127743</v>
      </c>
      <c r="C434" s="23" t="s">
        <v>7</v>
      </c>
      <c r="D434" s="123">
        <f>SUMIF(B$3:B$3844,B434,M$3:M$3844)/(SUMIF(B$3:B$3844,B434,J$3:J$3844))</f>
        <v>0.63185358674778802</v>
      </c>
      <c r="E434" s="23">
        <v>227252</v>
      </c>
      <c r="F434" s="46" t="s">
        <v>248</v>
      </c>
      <c r="G434" s="117"/>
      <c r="H434" s="117"/>
      <c r="I434" s="41">
        <v>220</v>
      </c>
      <c r="J434" s="45">
        <v>1584</v>
      </c>
      <c r="K434" s="118"/>
      <c r="L434" s="119"/>
      <c r="M434" s="110">
        <f>IF(L434="",I434,(MIN(J434,(L434*1.6*J434))))</f>
        <v>220</v>
      </c>
      <c r="N434" s="111">
        <f>IF(M434=0,0,(M434/J434))</f>
        <v>0.1388888888888889</v>
      </c>
    </row>
    <row r="435" spans="2:14">
      <c r="B435" s="72">
        <v>127743</v>
      </c>
      <c r="C435" s="47" t="s">
        <v>7</v>
      </c>
      <c r="D435" s="123">
        <f>SUMIF(B$3:B$3844,B435,M$3:M$3844)/(SUMIF(B$3:B$3844,B435,J$3:J$3844))</f>
        <v>0.63185358674778802</v>
      </c>
      <c r="E435" s="47">
        <v>37250</v>
      </c>
      <c r="F435" s="48" t="s">
        <v>249</v>
      </c>
      <c r="G435" s="117"/>
      <c r="H435" s="117"/>
      <c r="I435" s="40">
        <v>705</v>
      </c>
      <c r="J435" s="40">
        <v>952</v>
      </c>
      <c r="K435" s="118"/>
      <c r="L435" s="119"/>
      <c r="M435" s="110">
        <f>IF(L435="",I435,(MIN(J435,(L435*1.6*J435))))</f>
        <v>705</v>
      </c>
      <c r="N435" s="111">
        <f>IF(M435=0,0,(M435/J435))</f>
        <v>0.74054621848739499</v>
      </c>
    </row>
    <row r="436" spans="2:14">
      <c r="B436" s="73">
        <v>127743</v>
      </c>
      <c r="C436" s="23" t="s">
        <v>7</v>
      </c>
      <c r="D436" s="123">
        <f>SUMIF(B$3:B$3844,B436,M$3:M$3844)/(SUMIF(B$3:B$3844,B436,J$3:J$3844))</f>
        <v>0.63185358674778802</v>
      </c>
      <c r="E436" s="23">
        <v>37138</v>
      </c>
      <c r="F436" s="46" t="s">
        <v>250</v>
      </c>
      <c r="G436" s="117"/>
      <c r="H436" s="117"/>
      <c r="I436" s="41">
        <v>564</v>
      </c>
      <c r="J436" s="41">
        <v>580</v>
      </c>
      <c r="K436" s="118"/>
      <c r="L436" s="119"/>
      <c r="M436" s="110">
        <f>IF(L436="",I436,(MIN(J436,(L436*1.6*J436))))</f>
        <v>564</v>
      </c>
      <c r="N436" s="111">
        <f>IF(M436=0,0,(M436/J436))</f>
        <v>0.97241379310344822</v>
      </c>
    </row>
    <row r="437" spans="2:14">
      <c r="B437" s="72">
        <v>127743</v>
      </c>
      <c r="C437" s="47" t="s">
        <v>7</v>
      </c>
      <c r="D437" s="123">
        <f>SUMIF(B$3:B$3844,B437,M$3:M$3844)/(SUMIF(B$3:B$3844,B437,J$3:J$3844))</f>
        <v>0.63185358674778802</v>
      </c>
      <c r="E437" s="47">
        <v>37180</v>
      </c>
      <c r="F437" s="48" t="s">
        <v>251</v>
      </c>
      <c r="G437" s="117"/>
      <c r="H437" s="117"/>
      <c r="I437" s="40">
        <v>843</v>
      </c>
      <c r="J437" s="124">
        <v>1328</v>
      </c>
      <c r="K437" s="118"/>
      <c r="L437" s="119"/>
      <c r="M437" s="110">
        <f>IF(L437="",I437,(MIN(J437,(L437*1.6*J437))))</f>
        <v>843</v>
      </c>
      <c r="N437" s="111">
        <f>IF(M437=0,0,(M437/J437))</f>
        <v>0.63478915662650603</v>
      </c>
    </row>
    <row r="438" spans="2:14">
      <c r="B438" s="73">
        <v>127743</v>
      </c>
      <c r="C438" s="23" t="s">
        <v>7</v>
      </c>
      <c r="D438" s="123">
        <f>SUMIF(B$3:B$3844,B438,M$3:M$3844)/(SUMIF(B$3:B$3844,B438,J$3:J$3844))</f>
        <v>0.63185358674778802</v>
      </c>
      <c r="E438" s="23">
        <v>36426</v>
      </c>
      <c r="F438" s="46" t="s">
        <v>252</v>
      </c>
      <c r="G438" s="117"/>
      <c r="H438" s="117"/>
      <c r="I438" s="41">
        <v>103</v>
      </c>
      <c r="J438" s="41">
        <v>133</v>
      </c>
      <c r="K438" s="118"/>
      <c r="L438" s="119"/>
      <c r="M438" s="110">
        <f>IF(L438="",I438,(MIN(J438,(L438*1.6*J438))))</f>
        <v>103</v>
      </c>
      <c r="N438" s="111">
        <f>IF(M438=0,0,(M438/J438))</f>
        <v>0.77443609022556392</v>
      </c>
    </row>
    <row r="439" spans="2:14">
      <c r="B439" s="72">
        <v>127743</v>
      </c>
      <c r="C439" s="47" t="s">
        <v>7</v>
      </c>
      <c r="D439" s="123">
        <f>SUMIF(B$3:B$3844,B439,M$3:M$3844)/(SUMIF(B$3:B$3844,B439,J$3:J$3844))</f>
        <v>0.63185358674778802</v>
      </c>
      <c r="E439" s="47">
        <v>37114</v>
      </c>
      <c r="F439" s="48" t="s">
        <v>253</v>
      </c>
      <c r="G439" s="117"/>
      <c r="H439" s="117"/>
      <c r="I439" s="40">
        <v>811</v>
      </c>
      <c r="J439" s="40">
        <v>880</v>
      </c>
      <c r="K439" s="118"/>
      <c r="L439" s="119"/>
      <c r="M439" s="110">
        <f>IF(L439="",I439,(MIN(J439,(L439*1.6*J439))))</f>
        <v>811</v>
      </c>
      <c r="N439" s="111">
        <f>IF(M439=0,0,(M439/J439))</f>
        <v>0.92159090909090913</v>
      </c>
    </row>
    <row r="440" spans="2:14">
      <c r="B440" s="73">
        <v>127743</v>
      </c>
      <c r="C440" s="23" t="s">
        <v>7</v>
      </c>
      <c r="D440" s="123">
        <f>SUMIF(B$3:B$3844,B440,M$3:M$3844)/(SUMIF(B$3:B$3844,B440,J$3:J$3844))</f>
        <v>0.63185358674778802</v>
      </c>
      <c r="E440" s="23">
        <v>37193</v>
      </c>
      <c r="F440" s="46" t="s">
        <v>254</v>
      </c>
      <c r="G440" s="117"/>
      <c r="H440" s="117"/>
      <c r="I440" s="41">
        <v>275</v>
      </c>
      <c r="J440" s="41">
        <v>603</v>
      </c>
      <c r="K440" s="118"/>
      <c r="L440" s="119"/>
      <c r="M440" s="110">
        <f>IF(L440="",I440,(MIN(J440,(L440*1.6*J440))))</f>
        <v>275</v>
      </c>
      <c r="N440" s="111">
        <f>IF(M440=0,0,(M440/J440))</f>
        <v>0.45605306799336648</v>
      </c>
    </row>
    <row r="441" spans="2:14">
      <c r="B441" s="72">
        <v>127743</v>
      </c>
      <c r="C441" s="47" t="s">
        <v>7</v>
      </c>
      <c r="D441" s="123">
        <f>SUMIF(B$3:B$3844,B441,M$3:M$3844)/(SUMIF(B$3:B$3844,B441,J$3:J$3844))</f>
        <v>0.63185358674778802</v>
      </c>
      <c r="E441" s="47">
        <v>37089</v>
      </c>
      <c r="F441" s="48" t="s">
        <v>255</v>
      </c>
      <c r="G441" s="117"/>
      <c r="H441" s="117"/>
      <c r="I441" s="40">
        <v>476</v>
      </c>
      <c r="J441" s="40">
        <v>608</v>
      </c>
      <c r="K441" s="118"/>
      <c r="L441" s="119"/>
      <c r="M441" s="110">
        <f>IF(L441="",I441,(MIN(J441,(L441*1.6*J441))))</f>
        <v>476</v>
      </c>
      <c r="N441" s="111">
        <f>IF(M441=0,0,(M441/J441))</f>
        <v>0.78289473684210531</v>
      </c>
    </row>
    <row r="442" spans="2:14">
      <c r="B442" s="73">
        <v>127743</v>
      </c>
      <c r="C442" s="23" t="s">
        <v>7</v>
      </c>
      <c r="D442" s="123">
        <f>SUMIF(B$3:B$3844,B442,M$3:M$3844)/(SUMIF(B$3:B$3844,B442,J$3:J$3844))</f>
        <v>0.63185358674778802</v>
      </c>
      <c r="E442" s="23">
        <v>37119</v>
      </c>
      <c r="F442" s="46" t="s">
        <v>256</v>
      </c>
      <c r="G442" s="117"/>
      <c r="H442" s="117"/>
      <c r="I442" s="41">
        <v>37</v>
      </c>
      <c r="J442" s="41">
        <v>53</v>
      </c>
      <c r="K442" s="118"/>
      <c r="L442" s="119"/>
      <c r="M442" s="110">
        <f>IF(L442="",I442,(MIN(J442,(L442*1.6*J442))))</f>
        <v>37</v>
      </c>
      <c r="N442" s="111">
        <f>IF(M442=0,0,(M442/J442))</f>
        <v>0.69811320754716977</v>
      </c>
    </row>
    <row r="443" spans="2:14">
      <c r="B443" s="72">
        <v>127743</v>
      </c>
      <c r="C443" s="47" t="s">
        <v>7</v>
      </c>
      <c r="D443" s="123">
        <f>SUMIF(B$3:B$3844,B443,M$3:M$3844)/(SUMIF(B$3:B$3844,B443,J$3:J$3844))</f>
        <v>0.63185358674778802</v>
      </c>
      <c r="E443" s="47">
        <v>36609</v>
      </c>
      <c r="F443" s="48" t="s">
        <v>257</v>
      </c>
      <c r="G443" s="117"/>
      <c r="H443" s="117"/>
      <c r="I443" s="40">
        <v>659</v>
      </c>
      <c r="J443" s="124">
        <v>1211</v>
      </c>
      <c r="K443" s="118"/>
      <c r="L443" s="119"/>
      <c r="M443" s="110">
        <f>IF(L443="",I443,(MIN(J443,(L443*1.6*J443))))</f>
        <v>659</v>
      </c>
      <c r="N443" s="111">
        <f>IF(M443=0,0,(M443/J443))</f>
        <v>0.54417836498761352</v>
      </c>
    </row>
    <row r="444" spans="2:14">
      <c r="B444" s="73">
        <v>127743</v>
      </c>
      <c r="C444" s="23" t="s">
        <v>7</v>
      </c>
      <c r="D444" s="123">
        <f>SUMIF(B$3:B$3844,B444,M$3:M$3844)/(SUMIF(B$3:B$3844,B444,J$3:J$3844))</f>
        <v>0.63185358674778802</v>
      </c>
      <c r="E444" s="23">
        <v>36596</v>
      </c>
      <c r="F444" s="46" t="s">
        <v>258</v>
      </c>
      <c r="G444" s="117"/>
      <c r="H444" s="117"/>
      <c r="I444" s="41">
        <v>211</v>
      </c>
      <c r="J444" s="41">
        <v>225</v>
      </c>
      <c r="K444" s="118"/>
      <c r="L444" s="119"/>
      <c r="M444" s="110">
        <f>IF(L444="",I444,(MIN(J444,(L444*1.6*J444))))</f>
        <v>211</v>
      </c>
      <c r="N444" s="111">
        <f>IF(M444=0,0,(M444/J444))</f>
        <v>0.93777777777777782</v>
      </c>
    </row>
    <row r="445" spans="2:14">
      <c r="B445" s="72">
        <v>127743</v>
      </c>
      <c r="C445" s="47" t="s">
        <v>7</v>
      </c>
      <c r="D445" s="123">
        <f>SUMIF(B$3:B$3844,B445,M$3:M$3844)/(SUMIF(B$3:B$3844,B445,J$3:J$3844))</f>
        <v>0.63185358674778802</v>
      </c>
      <c r="E445" s="47">
        <v>232470</v>
      </c>
      <c r="F445" s="48" t="s">
        <v>259</v>
      </c>
      <c r="G445" s="117"/>
      <c r="H445" s="117"/>
      <c r="I445" s="40"/>
      <c r="J445" s="40">
        <v>0</v>
      </c>
      <c r="K445" s="118"/>
      <c r="L445" s="119"/>
      <c r="M445" s="110">
        <f>IF(L445="",I445,(MIN(J445,(L445*1.6*J445))))</f>
        <v>0</v>
      </c>
      <c r="N445" s="111">
        <f>IF(M445=0,0,(M445/J445))</f>
        <v>0</v>
      </c>
    </row>
    <row r="446" spans="2:14">
      <c r="B446" s="73">
        <v>127743</v>
      </c>
      <c r="C446" s="23" t="s">
        <v>7</v>
      </c>
      <c r="D446" s="123">
        <f>SUMIF(B$3:B$3844,B446,M$3:M$3844)/(SUMIF(B$3:B$3844,B446,J$3:J$3844))</f>
        <v>0.63185358674778802</v>
      </c>
      <c r="E446" s="23">
        <v>16065071</v>
      </c>
      <c r="F446" s="46" t="s">
        <v>260</v>
      </c>
      <c r="G446" s="117"/>
      <c r="H446" s="117"/>
      <c r="I446" s="41"/>
      <c r="J446" s="41">
        <v>0</v>
      </c>
      <c r="K446" s="118"/>
      <c r="L446" s="119"/>
      <c r="M446" s="110">
        <f>IF(L446="",I446,(MIN(J446,(L446*1.6*J446))))</f>
        <v>0</v>
      </c>
      <c r="N446" s="111">
        <f>IF(M446=0,0,(M446/J446))</f>
        <v>0</v>
      </c>
    </row>
    <row r="447" spans="2:14">
      <c r="B447" s="72">
        <v>127743</v>
      </c>
      <c r="C447" s="47" t="s">
        <v>7</v>
      </c>
      <c r="D447" s="123">
        <f>SUMIF(B$3:B$3844,B447,M$3:M$3844)/(SUMIF(B$3:B$3844,B447,J$3:J$3844))</f>
        <v>0.63185358674778802</v>
      </c>
      <c r="E447" s="47">
        <v>16075722</v>
      </c>
      <c r="F447" s="48" t="s">
        <v>261</v>
      </c>
      <c r="G447" s="117"/>
      <c r="H447" s="117"/>
      <c r="I447" s="40"/>
      <c r="J447" s="40">
        <v>0</v>
      </c>
      <c r="K447" s="118"/>
      <c r="L447" s="119"/>
      <c r="M447" s="110">
        <f>IF(L447="",I447,(MIN(J447,(L447*1.6*J447))))</f>
        <v>0</v>
      </c>
      <c r="N447" s="111">
        <f>IF(M447=0,0,(M447/J447))</f>
        <v>0</v>
      </c>
    </row>
    <row r="448" spans="2:14">
      <c r="B448" s="73">
        <v>127743</v>
      </c>
      <c r="C448" s="23" t="s">
        <v>7</v>
      </c>
      <c r="D448" s="123">
        <f>SUMIF(B$3:B$3844,B448,M$3:M$3844)/(SUMIF(B$3:B$3844,B448,J$3:J$3844))</f>
        <v>0.63185358674778802</v>
      </c>
      <c r="E448" s="23">
        <v>16082449</v>
      </c>
      <c r="F448" s="46" t="s">
        <v>262</v>
      </c>
      <c r="G448" s="117"/>
      <c r="H448" s="117"/>
      <c r="I448" s="41"/>
      <c r="J448" s="41">
        <v>0</v>
      </c>
      <c r="K448" s="118"/>
      <c r="L448" s="119"/>
      <c r="M448" s="110">
        <f>IF(L448="",I448,(MIN(J448,(L448*1.6*J448))))</f>
        <v>0</v>
      </c>
      <c r="N448" s="111">
        <f>IF(M448=0,0,(M448/J448))</f>
        <v>0</v>
      </c>
    </row>
    <row r="449" spans="2:14">
      <c r="B449" s="72">
        <v>127743</v>
      </c>
      <c r="C449" s="47" t="s">
        <v>7</v>
      </c>
      <c r="D449" s="123">
        <f>SUMIF(B$3:B$3844,B449,M$3:M$3844)/(SUMIF(B$3:B$3844,B449,J$3:J$3844))</f>
        <v>0.63185358674778802</v>
      </c>
      <c r="E449" s="47">
        <v>16082450</v>
      </c>
      <c r="F449" s="48" t="s">
        <v>263</v>
      </c>
      <c r="G449" s="117"/>
      <c r="H449" s="117"/>
      <c r="I449" s="40"/>
      <c r="J449" s="40">
        <v>0</v>
      </c>
      <c r="K449" s="118"/>
      <c r="L449" s="119"/>
      <c r="M449" s="110">
        <f>IF(L449="",I449,(MIN(J449,(L449*1.6*J449))))</f>
        <v>0</v>
      </c>
      <c r="N449" s="111">
        <f>IF(M449=0,0,(M449/J449))</f>
        <v>0</v>
      </c>
    </row>
    <row r="450" spans="2:14">
      <c r="B450" s="73">
        <v>127626</v>
      </c>
      <c r="C450" s="23" t="s">
        <v>1806</v>
      </c>
      <c r="D450" s="123">
        <f>SUMIF(B$3:B$3844,B450,M$3:M$3844)/(SUMIF(B$3:B$3844,B450,J$3:J$3844))</f>
        <v>0.86165660754888584</v>
      </c>
      <c r="E450" s="23">
        <v>35412</v>
      </c>
      <c r="F450" s="46" t="s">
        <v>1807</v>
      </c>
      <c r="G450" s="23"/>
      <c r="H450" s="23"/>
      <c r="I450" s="41"/>
      <c r="J450" s="41">
        <v>609</v>
      </c>
      <c r="K450" s="20">
        <v>2015</v>
      </c>
      <c r="L450" s="21">
        <v>0.57550000000000001</v>
      </c>
      <c r="M450" s="110">
        <f>IF(L450="",I450,(MIN(J450,(L450*1.6*J450))))</f>
        <v>560.7672</v>
      </c>
      <c r="N450" s="111">
        <f>IF(M450=0,0,(M450/J450))</f>
        <v>0.92079999999999995</v>
      </c>
    </row>
    <row r="451" spans="2:14">
      <c r="B451" s="72">
        <v>127626</v>
      </c>
      <c r="C451" s="47" t="s">
        <v>1806</v>
      </c>
      <c r="D451" s="123">
        <f>SUMIF(B$3:B$3844,B451,M$3:M$3844)/(SUMIF(B$3:B$3844,B451,J$3:J$3844))</f>
        <v>0.86165660754888584</v>
      </c>
      <c r="E451" s="47">
        <v>35414</v>
      </c>
      <c r="F451" s="48" t="s">
        <v>1808</v>
      </c>
      <c r="G451" s="47"/>
      <c r="H451" s="47"/>
      <c r="I451" s="40"/>
      <c r="J451" s="40">
        <v>617</v>
      </c>
      <c r="K451" s="20">
        <v>2015</v>
      </c>
      <c r="L451" s="21">
        <v>0.6351</v>
      </c>
      <c r="M451" s="110">
        <f>IF(L451="",I451,(MIN(J451,(L451*1.6*J451))))</f>
        <v>617</v>
      </c>
      <c r="N451" s="111">
        <f>IF(M451=0,0,(M451/J451))</f>
        <v>1</v>
      </c>
    </row>
    <row r="452" spans="2:14">
      <c r="B452" s="73">
        <v>127626</v>
      </c>
      <c r="C452" s="23" t="s">
        <v>1806</v>
      </c>
      <c r="D452" s="123">
        <f>SUMIF(B$3:B$3844,B452,M$3:M$3844)/(SUMIF(B$3:B$3844,B452,J$3:J$3844))</f>
        <v>0.86165660754888584</v>
      </c>
      <c r="E452" s="23">
        <v>35416</v>
      </c>
      <c r="F452" s="46" t="s">
        <v>1809</v>
      </c>
      <c r="G452" s="23"/>
      <c r="H452" s="23"/>
      <c r="I452" s="41">
        <v>261</v>
      </c>
      <c r="J452" s="41">
        <v>423</v>
      </c>
      <c r="K452" s="20"/>
      <c r="L452" s="21"/>
      <c r="M452" s="110">
        <f>IF(L452="",I452,(MIN(J452,(L452*1.6*J452))))</f>
        <v>261</v>
      </c>
      <c r="N452" s="111">
        <f>IF(M452=0,0,(M452/J452))</f>
        <v>0.61702127659574468</v>
      </c>
    </row>
    <row r="453" spans="2:14">
      <c r="B453" s="72">
        <v>127626</v>
      </c>
      <c r="C453" s="47" t="s">
        <v>1806</v>
      </c>
      <c r="D453" s="123">
        <f>SUMIF(B$3:B$3844,B453,M$3:M$3844)/(SUMIF(B$3:B$3844,B453,J$3:J$3844))</f>
        <v>0.86165660754888584</v>
      </c>
      <c r="E453" s="47">
        <v>35417</v>
      </c>
      <c r="F453" s="48" t="s">
        <v>1810</v>
      </c>
      <c r="G453" s="47"/>
      <c r="H453" s="47"/>
      <c r="I453" s="40"/>
      <c r="J453" s="40">
        <v>259</v>
      </c>
      <c r="K453" s="20">
        <v>2015</v>
      </c>
      <c r="L453" s="21">
        <v>0.45689999999999997</v>
      </c>
      <c r="M453" s="110">
        <f>IF(L453="",I453,(MIN(J453,(L453*1.6*J453))))</f>
        <v>189.33936</v>
      </c>
      <c r="N453" s="111">
        <f>IF(M453=0,0,(M453/J453))</f>
        <v>0.73104000000000002</v>
      </c>
    </row>
    <row r="454" spans="2:14" ht="30">
      <c r="B454" s="73">
        <v>127626</v>
      </c>
      <c r="C454" s="23" t="s">
        <v>1806</v>
      </c>
      <c r="D454" s="123">
        <f>SUMIF(B$3:B$3844,B454,M$3:M$3844)/(SUMIF(B$3:B$3844,B454,J$3:J$3844))</f>
        <v>0.86165660754888584</v>
      </c>
      <c r="E454" s="23">
        <v>16083457</v>
      </c>
      <c r="F454" s="46" t="s">
        <v>1811</v>
      </c>
      <c r="G454" s="23"/>
      <c r="H454" s="23"/>
      <c r="I454" s="41">
        <v>20</v>
      </c>
      <c r="J454" s="41">
        <v>30</v>
      </c>
      <c r="K454" s="20"/>
      <c r="L454" s="21"/>
      <c r="M454" s="110">
        <f>IF(L454="",I454,(MIN(J454,(L454*1.6*J454))))</f>
        <v>20</v>
      </c>
      <c r="N454" s="111">
        <f>IF(M454=0,0,(M454/J454))</f>
        <v>0.66666666666666663</v>
      </c>
    </row>
    <row r="455" spans="2:14">
      <c r="B455" s="72">
        <v>127626</v>
      </c>
      <c r="C455" s="47" t="s">
        <v>1806</v>
      </c>
      <c r="D455" s="123">
        <f>SUMIF(B$3:B$3844,B455,M$3:M$3844)/(SUMIF(B$3:B$3844,B455,J$3:J$3844))</f>
        <v>0.86165660754888584</v>
      </c>
      <c r="E455" s="47">
        <v>16083460</v>
      </c>
      <c r="F455" s="48" t="s">
        <v>1812</v>
      </c>
      <c r="G455" s="47"/>
      <c r="H455" s="47"/>
      <c r="I455" s="40"/>
      <c r="J455" s="40" t="s">
        <v>798</v>
      </c>
      <c r="K455" s="20"/>
      <c r="L455" s="21"/>
      <c r="M455" s="110">
        <f>IF(L455="",I455,(MIN(J455,(L455*1.6*J455))))</f>
        <v>0</v>
      </c>
      <c r="N455" s="111">
        <f>IF(M455=0,0,(M455/J455))</f>
        <v>0</v>
      </c>
    </row>
    <row r="456" spans="2:14">
      <c r="B456" s="73">
        <v>127626</v>
      </c>
      <c r="C456" s="23" t="s">
        <v>1806</v>
      </c>
      <c r="D456" s="123">
        <f>SUMIF(B$3:B$3844,B456,M$3:M$3844)/(SUMIF(B$3:B$3844,B456,J$3:J$3844))</f>
        <v>0.86165660754888584</v>
      </c>
      <c r="E456" s="23">
        <v>35427</v>
      </c>
      <c r="F456" s="46" t="s">
        <v>1813</v>
      </c>
      <c r="G456" s="23"/>
      <c r="H456" s="23"/>
      <c r="I456" s="41"/>
      <c r="J456" s="41">
        <v>261</v>
      </c>
      <c r="K456" s="20">
        <v>2015</v>
      </c>
      <c r="L456" s="21">
        <v>0.5907</v>
      </c>
      <c r="M456" s="110">
        <f>IF(L456="",I456,(MIN(J456,(L456*1.6*J456))))</f>
        <v>246.67632000000003</v>
      </c>
      <c r="N456" s="111">
        <f>IF(M456=0,0,(M456/J456))</f>
        <v>0.94512000000000007</v>
      </c>
    </row>
    <row r="457" spans="2:14">
      <c r="B457" s="73">
        <v>127835</v>
      </c>
      <c r="C457" s="23" t="s">
        <v>1814</v>
      </c>
      <c r="D457" s="123">
        <f>SUMIF(B$3:B$3844,B457,M$3:M$3844)/(SUMIF(B$3:B$3844,B457,J$3:J$3844))</f>
        <v>0.65461410469729941</v>
      </c>
      <c r="E457" s="23">
        <v>222476</v>
      </c>
      <c r="F457" s="46" t="s">
        <v>1815</v>
      </c>
      <c r="G457" s="23"/>
      <c r="H457" s="23"/>
      <c r="I457" s="41">
        <v>21</v>
      </c>
      <c r="J457" s="41">
        <v>21</v>
      </c>
      <c r="K457" s="118"/>
      <c r="L457" s="119"/>
      <c r="M457" s="110">
        <f>IF(L457="",I457,(MIN(J457,(L457*1.6*J457))))</f>
        <v>21</v>
      </c>
      <c r="N457" s="111">
        <f>IF(M457=0,0,(M457/J457))</f>
        <v>1</v>
      </c>
    </row>
    <row r="458" spans="2:14">
      <c r="B458" s="72">
        <v>127835</v>
      </c>
      <c r="C458" s="47" t="s">
        <v>1814</v>
      </c>
      <c r="D458" s="123">
        <f>SUMIF(B$3:B$3844,B458,M$3:M$3844)/(SUMIF(B$3:B$3844,B458,J$3:J$3844))</f>
        <v>0.65461410469729941</v>
      </c>
      <c r="E458" s="47">
        <v>38303</v>
      </c>
      <c r="F458" s="48" t="s">
        <v>1816</v>
      </c>
      <c r="G458" s="47"/>
      <c r="H458" s="47"/>
      <c r="I458" s="40">
        <v>161</v>
      </c>
      <c r="J458" s="40">
        <v>165</v>
      </c>
      <c r="K458" s="118"/>
      <c r="L458" s="119"/>
      <c r="M458" s="110">
        <f>IF(L458="",I458,(MIN(J458,(L458*1.6*J458))))</f>
        <v>161</v>
      </c>
      <c r="N458" s="111">
        <f>IF(M458=0,0,(M458/J458))</f>
        <v>0.97575757575757571</v>
      </c>
    </row>
    <row r="459" spans="2:14">
      <c r="B459" s="73">
        <v>127835</v>
      </c>
      <c r="C459" s="23" t="s">
        <v>1814</v>
      </c>
      <c r="D459" s="123">
        <f>SUMIF(B$3:B$3844,B459,M$3:M$3844)/(SUMIF(B$3:B$3844,B459,J$3:J$3844))</f>
        <v>0.65461410469729941</v>
      </c>
      <c r="E459" s="23">
        <v>38322</v>
      </c>
      <c r="F459" s="46" t="s">
        <v>1817</v>
      </c>
      <c r="G459" s="23"/>
      <c r="H459" s="23"/>
      <c r="I459" s="41">
        <v>110</v>
      </c>
      <c r="J459" s="41">
        <v>139</v>
      </c>
      <c r="K459" s="118"/>
      <c r="L459" s="119"/>
      <c r="M459" s="110">
        <f>IF(L459="",I459,(MIN(J459,(L459*1.6*J459))))</f>
        <v>110</v>
      </c>
      <c r="N459" s="111">
        <f>IF(M459=0,0,(M459/J459))</f>
        <v>0.79136690647482011</v>
      </c>
    </row>
    <row r="460" spans="2:14">
      <c r="B460" s="72">
        <v>127835</v>
      </c>
      <c r="C460" s="47" t="s">
        <v>1814</v>
      </c>
      <c r="D460" s="123">
        <f>SUMIF(B$3:B$3844,B460,M$3:M$3844)/(SUMIF(B$3:B$3844,B460,J$3:J$3844))</f>
        <v>0.65461410469729941</v>
      </c>
      <c r="E460" s="47">
        <v>38308</v>
      </c>
      <c r="F460" s="48" t="s">
        <v>1818</v>
      </c>
      <c r="G460" s="47"/>
      <c r="H460" s="47"/>
      <c r="I460" s="40">
        <v>1040</v>
      </c>
      <c r="J460" s="40">
        <v>1916</v>
      </c>
      <c r="K460" s="118"/>
      <c r="L460" s="119"/>
      <c r="M460" s="110">
        <f>IF(L460="",I460,(MIN(J460,(L460*1.6*J460))))</f>
        <v>1040</v>
      </c>
      <c r="N460" s="111">
        <f>IF(M460=0,0,(M460/J460))</f>
        <v>0.54279749478079331</v>
      </c>
    </row>
    <row r="461" spans="2:14">
      <c r="B461" s="73">
        <v>127835</v>
      </c>
      <c r="C461" s="23" t="s">
        <v>1814</v>
      </c>
      <c r="D461" s="123">
        <f>SUMIF(B$3:B$3844,B461,M$3:M$3844)/(SUMIF(B$3:B$3844,B461,J$3:J$3844))</f>
        <v>0.65461410469729941</v>
      </c>
      <c r="E461" s="23">
        <v>38300</v>
      </c>
      <c r="F461" s="46" t="s">
        <v>1819</v>
      </c>
      <c r="G461" s="23"/>
      <c r="H461" s="23"/>
      <c r="I461" s="41">
        <v>274</v>
      </c>
      <c r="J461" s="41">
        <v>376</v>
      </c>
      <c r="K461" s="118"/>
      <c r="L461" s="119"/>
      <c r="M461" s="110">
        <f>IF(L461="",I461,(MIN(J461,(L461*1.6*J461))))</f>
        <v>274</v>
      </c>
      <c r="N461" s="111">
        <f>IF(M461=0,0,(M461/J461))</f>
        <v>0.72872340425531912</v>
      </c>
    </row>
    <row r="462" spans="2:14">
      <c r="B462" s="72">
        <v>127835</v>
      </c>
      <c r="C462" s="47" t="s">
        <v>1814</v>
      </c>
      <c r="D462" s="123">
        <f>SUMIF(B$3:B$3844,B462,M$3:M$3844)/(SUMIF(B$3:B$3844,B462,J$3:J$3844))</f>
        <v>0.65461410469729941</v>
      </c>
      <c r="E462" s="47">
        <v>38328</v>
      </c>
      <c r="F462" s="48" t="s">
        <v>1820</v>
      </c>
      <c r="G462" s="47"/>
      <c r="H462" s="47"/>
      <c r="I462" s="40">
        <v>444</v>
      </c>
      <c r="J462" s="40">
        <v>686</v>
      </c>
      <c r="K462" s="118"/>
      <c r="L462" s="119"/>
      <c r="M462" s="110">
        <f>IF(L462="",I462,(MIN(J462,(L462*1.6*J462))))</f>
        <v>444</v>
      </c>
      <c r="N462" s="111">
        <f>IF(M462=0,0,(M462/J462))</f>
        <v>0.64723032069970843</v>
      </c>
    </row>
    <row r="463" spans="2:14">
      <c r="B463" s="73">
        <v>127835</v>
      </c>
      <c r="C463" s="23" t="s">
        <v>1814</v>
      </c>
      <c r="D463" s="123">
        <f>SUMIF(B$3:B$3844,B463,M$3:M$3844)/(SUMIF(B$3:B$3844,B463,J$3:J$3844))</f>
        <v>0.65461410469729941</v>
      </c>
      <c r="E463" s="23">
        <v>38327</v>
      </c>
      <c r="F463" s="46" t="s">
        <v>1821</v>
      </c>
      <c r="G463" s="23"/>
      <c r="H463" s="23"/>
      <c r="I463" s="41">
        <v>509</v>
      </c>
      <c r="J463" s="41">
        <v>719</v>
      </c>
      <c r="K463" s="118"/>
      <c r="L463" s="119"/>
      <c r="M463" s="110">
        <f>IF(L463="",I463,(MIN(J463,(L463*1.6*J463))))</f>
        <v>509</v>
      </c>
      <c r="N463" s="111">
        <f>IF(M463=0,0,(M463/J463))</f>
        <v>0.70792767732962447</v>
      </c>
    </row>
    <row r="464" spans="2:14">
      <c r="B464" s="72">
        <v>127835</v>
      </c>
      <c r="C464" s="47" t="s">
        <v>1814</v>
      </c>
      <c r="D464" s="123">
        <f>SUMIF(B$3:B$3844,B464,M$3:M$3844)/(SUMIF(B$3:B$3844,B464,J$3:J$3844))</f>
        <v>0.65461410469729941</v>
      </c>
      <c r="E464" s="47">
        <v>215071</v>
      </c>
      <c r="F464" s="48" t="s">
        <v>1822</v>
      </c>
      <c r="G464" s="47"/>
      <c r="H464" s="47"/>
      <c r="I464" s="40">
        <v>431</v>
      </c>
      <c r="J464" s="40">
        <v>645</v>
      </c>
      <c r="K464" s="118"/>
      <c r="L464" s="119"/>
      <c r="M464" s="110">
        <f>IF(L464="",I464,(MIN(J464,(L464*1.6*J464))))</f>
        <v>431</v>
      </c>
      <c r="N464" s="111">
        <f>IF(M464=0,0,(M464/J464))</f>
        <v>0.66821705426356592</v>
      </c>
    </row>
    <row r="465" spans="2:14">
      <c r="B465" s="73">
        <v>127835</v>
      </c>
      <c r="C465" s="23" t="s">
        <v>1814</v>
      </c>
      <c r="D465" s="123">
        <f>SUMIF(B$3:B$3844,B465,M$3:M$3844)/(SUMIF(B$3:B$3844,B465,J$3:J$3844))</f>
        <v>0.65461410469729941</v>
      </c>
      <c r="E465" s="23">
        <v>38295</v>
      </c>
      <c r="F465" s="46" t="s">
        <v>1823</v>
      </c>
      <c r="G465" s="23"/>
      <c r="H465" s="23"/>
      <c r="I465" s="41">
        <v>378</v>
      </c>
      <c r="J465" s="41">
        <v>673</v>
      </c>
      <c r="K465" s="118"/>
      <c r="L465" s="119"/>
      <c r="M465" s="110">
        <f>IF(L465="",I465,(MIN(J465,(L465*1.6*J465))))</f>
        <v>378</v>
      </c>
      <c r="N465" s="111">
        <f>IF(M465=0,0,(M465/J465))</f>
        <v>0.56166419019316494</v>
      </c>
    </row>
    <row r="466" spans="2:14">
      <c r="B466" s="72">
        <v>127835</v>
      </c>
      <c r="C466" s="47" t="s">
        <v>1814</v>
      </c>
      <c r="D466" s="123">
        <f>SUMIF(B$3:B$3844,B466,M$3:M$3844)/(SUMIF(B$3:B$3844,B466,J$3:J$3844))</f>
        <v>0.65461410469729941</v>
      </c>
      <c r="E466" s="47">
        <v>38447</v>
      </c>
      <c r="F466" s="48" t="s">
        <v>1824</v>
      </c>
      <c r="G466" s="47"/>
      <c r="H466" s="47"/>
      <c r="I466" s="40">
        <v>594</v>
      </c>
      <c r="J466" s="40">
        <v>1234</v>
      </c>
      <c r="K466" s="118"/>
      <c r="L466" s="119"/>
      <c r="M466" s="110">
        <f>IF(L466="",I466,(MIN(J466,(L466*1.6*J466))))</f>
        <v>594</v>
      </c>
      <c r="N466" s="111">
        <f>IF(M466=0,0,(M466/J466))</f>
        <v>0.48136142625607781</v>
      </c>
    </row>
    <row r="467" spans="2:14">
      <c r="B467" s="73">
        <v>127835</v>
      </c>
      <c r="C467" s="23" t="s">
        <v>1814</v>
      </c>
      <c r="D467" s="123">
        <f>SUMIF(B$3:B$3844,B467,M$3:M$3844)/(SUMIF(B$3:B$3844,B467,J$3:J$3844))</f>
        <v>0.65461410469729941</v>
      </c>
      <c r="E467" s="23">
        <v>38314</v>
      </c>
      <c r="F467" s="46" t="s">
        <v>117</v>
      </c>
      <c r="G467" s="23"/>
      <c r="H467" s="23"/>
      <c r="I467" s="41">
        <v>494</v>
      </c>
      <c r="J467" s="41">
        <v>603</v>
      </c>
      <c r="K467" s="118"/>
      <c r="L467" s="119"/>
      <c r="M467" s="110">
        <f>IF(L467="",I467,(MIN(J467,(L467*1.6*J467))))</f>
        <v>494</v>
      </c>
      <c r="N467" s="111">
        <f>IF(M467=0,0,(M467/J467))</f>
        <v>0.8192371475953566</v>
      </c>
    </row>
    <row r="468" spans="2:14">
      <c r="B468" s="72">
        <v>127835</v>
      </c>
      <c r="C468" s="47" t="s">
        <v>1814</v>
      </c>
      <c r="D468" s="123">
        <f>SUMIF(B$3:B$3844,B468,M$3:M$3844)/(SUMIF(B$3:B$3844,B468,J$3:J$3844))</f>
        <v>0.65461410469729941</v>
      </c>
      <c r="E468" s="47">
        <v>38302</v>
      </c>
      <c r="F468" s="48" t="s">
        <v>1825</v>
      </c>
      <c r="G468" s="47"/>
      <c r="H468" s="47"/>
      <c r="I468" s="40">
        <v>549</v>
      </c>
      <c r="J468" s="40">
        <v>750</v>
      </c>
      <c r="K468" s="118"/>
      <c r="L468" s="119"/>
      <c r="M468" s="110">
        <f>IF(L468="",I468,(MIN(J468,(L468*1.6*J468))))</f>
        <v>549</v>
      </c>
      <c r="N468" s="111">
        <f>IF(M468=0,0,(M468/J468))</f>
        <v>0.73199999999999998</v>
      </c>
    </row>
    <row r="469" spans="2:14">
      <c r="B469" s="73">
        <v>127835</v>
      </c>
      <c r="C469" s="23" t="s">
        <v>1814</v>
      </c>
      <c r="D469" s="123">
        <f>SUMIF(B$3:B$3844,B469,M$3:M$3844)/(SUMIF(B$3:B$3844,B469,J$3:J$3844))</f>
        <v>0.65461410469729941</v>
      </c>
      <c r="E469" s="23">
        <v>38298</v>
      </c>
      <c r="F469" s="46" t="s">
        <v>1826</v>
      </c>
      <c r="G469" s="23"/>
      <c r="H469" s="23"/>
      <c r="I469" s="41">
        <v>527</v>
      </c>
      <c r="J469" s="41">
        <v>770</v>
      </c>
      <c r="K469" s="118"/>
      <c r="L469" s="119"/>
      <c r="M469" s="110">
        <f>IF(L469="",I469,(MIN(J469,(L469*1.6*J469))))</f>
        <v>527</v>
      </c>
      <c r="N469" s="111">
        <f>IF(M469=0,0,(M469/J469))</f>
        <v>0.68441558441558437</v>
      </c>
    </row>
    <row r="470" spans="2:14">
      <c r="B470" s="72">
        <v>127835</v>
      </c>
      <c r="C470" s="47" t="s">
        <v>1814</v>
      </c>
      <c r="D470" s="123">
        <f>SUMIF(B$3:B$3844,B470,M$3:M$3844)/(SUMIF(B$3:B$3844,B470,J$3:J$3844))</f>
        <v>0.65461410469729941</v>
      </c>
      <c r="E470" s="47">
        <v>38326</v>
      </c>
      <c r="F470" s="48" t="s">
        <v>1827</v>
      </c>
      <c r="G470" s="47"/>
      <c r="H470" s="47"/>
      <c r="I470" s="40">
        <v>370</v>
      </c>
      <c r="J470" s="40">
        <v>550</v>
      </c>
      <c r="K470" s="118"/>
      <c r="L470" s="119"/>
      <c r="M470" s="110">
        <f>IF(L470="",I470,(MIN(J470,(L470*1.6*J470))))</f>
        <v>370</v>
      </c>
      <c r="N470" s="111">
        <f>IF(M470=0,0,(M470/J470))</f>
        <v>0.67272727272727273</v>
      </c>
    </row>
    <row r="471" spans="2:14">
      <c r="B471" s="73">
        <v>127835</v>
      </c>
      <c r="C471" s="23" t="s">
        <v>1814</v>
      </c>
      <c r="D471" s="123">
        <f>SUMIF(B$3:B$3844,B471,M$3:M$3844)/(SUMIF(B$3:B$3844,B471,J$3:J$3844))</f>
        <v>0.65461410469729941</v>
      </c>
      <c r="E471" s="23">
        <v>38311</v>
      </c>
      <c r="F471" s="46" t="s">
        <v>1828</v>
      </c>
      <c r="G471" s="23"/>
      <c r="H471" s="23"/>
      <c r="I471" s="41">
        <v>626</v>
      </c>
      <c r="J471" s="41">
        <v>804</v>
      </c>
      <c r="K471" s="118"/>
      <c r="L471" s="119"/>
      <c r="M471" s="110">
        <f>IF(L471="",I471,(MIN(J471,(L471*1.6*J471))))</f>
        <v>626</v>
      </c>
      <c r="N471" s="111">
        <f>IF(M471=0,0,(M471/J471))</f>
        <v>0.77860696517412931</v>
      </c>
    </row>
    <row r="472" spans="2:14">
      <c r="B472" s="72">
        <v>127835</v>
      </c>
      <c r="C472" s="47" t="s">
        <v>1814</v>
      </c>
      <c r="D472" s="123">
        <f>SUMIF(B$3:B$3844,B472,M$3:M$3844)/(SUMIF(B$3:B$3844,B472,J$3:J$3844))</f>
        <v>0.65461410469729941</v>
      </c>
      <c r="E472" s="47">
        <v>38323</v>
      </c>
      <c r="F472" s="48" t="s">
        <v>1829</v>
      </c>
      <c r="G472" s="47"/>
      <c r="H472" s="47"/>
      <c r="I472" s="40">
        <v>614</v>
      </c>
      <c r="J472" s="40">
        <v>706</v>
      </c>
      <c r="K472" s="118"/>
      <c r="L472" s="119"/>
      <c r="M472" s="110">
        <f>IF(L472="",I472,(MIN(J472,(L472*1.6*J472))))</f>
        <v>614</v>
      </c>
      <c r="N472" s="111">
        <f>IF(M472=0,0,(M472/J472))</f>
        <v>0.86968838526912184</v>
      </c>
    </row>
    <row r="473" spans="2:14">
      <c r="B473" s="73">
        <v>127835</v>
      </c>
      <c r="C473" s="23" t="s">
        <v>1814</v>
      </c>
      <c r="D473" s="123">
        <f>SUMIF(B$3:B$3844,B473,M$3:M$3844)/(SUMIF(B$3:B$3844,B473,J$3:J$3844))</f>
        <v>0.65461410469729941</v>
      </c>
      <c r="E473" s="23">
        <v>38299</v>
      </c>
      <c r="F473" s="46" t="s">
        <v>1830</v>
      </c>
      <c r="G473" s="23"/>
      <c r="H473" s="23"/>
      <c r="I473" s="41">
        <v>1059</v>
      </c>
      <c r="J473" s="41">
        <v>1626</v>
      </c>
      <c r="K473" s="118"/>
      <c r="L473" s="119"/>
      <c r="M473" s="110">
        <f>IF(L473="",I473,(MIN(J473,(L473*1.6*J473))))</f>
        <v>1059</v>
      </c>
      <c r="N473" s="111">
        <f>IF(M473=0,0,(M473/J473))</f>
        <v>0.6512915129151291</v>
      </c>
    </row>
    <row r="474" spans="2:14">
      <c r="B474" s="72">
        <v>127835</v>
      </c>
      <c r="C474" s="47" t="s">
        <v>1814</v>
      </c>
      <c r="D474" s="123">
        <f>SUMIF(B$3:B$3844,B474,M$3:M$3844)/(SUMIF(B$3:B$3844,B474,J$3:J$3844))</f>
        <v>0.65461410469729941</v>
      </c>
      <c r="E474" s="47">
        <v>38309</v>
      </c>
      <c r="F474" s="48" t="s">
        <v>1831</v>
      </c>
      <c r="G474" s="47"/>
      <c r="H474" s="47"/>
      <c r="I474" s="40">
        <v>634</v>
      </c>
      <c r="J474" s="40">
        <v>851</v>
      </c>
      <c r="K474" s="118"/>
      <c r="L474" s="119"/>
      <c r="M474" s="110">
        <f>IF(L474="",I474,(MIN(J474,(L474*1.6*J474))))</f>
        <v>634</v>
      </c>
      <c r="N474" s="111">
        <f>IF(M474=0,0,(M474/J474))</f>
        <v>0.74500587544065799</v>
      </c>
    </row>
    <row r="475" spans="2:14">
      <c r="B475" s="73">
        <v>127835</v>
      </c>
      <c r="C475" s="23" t="s">
        <v>1814</v>
      </c>
      <c r="D475" s="123">
        <f>SUMIF(B$3:B$3844,B475,M$3:M$3844)/(SUMIF(B$3:B$3844,B475,J$3:J$3844))</f>
        <v>0.65461410469729941</v>
      </c>
      <c r="E475" s="23">
        <v>38304</v>
      </c>
      <c r="F475" s="46" t="s">
        <v>1832</v>
      </c>
      <c r="G475" s="23"/>
      <c r="H475" s="23"/>
      <c r="I475" s="41">
        <v>677</v>
      </c>
      <c r="J475" s="41">
        <v>1165</v>
      </c>
      <c r="K475" s="118"/>
      <c r="L475" s="119"/>
      <c r="M475" s="110">
        <f>IF(L475="",I475,(MIN(J475,(L475*1.6*J475))))</f>
        <v>677</v>
      </c>
      <c r="N475" s="111">
        <f>IF(M475=0,0,(M475/J475))</f>
        <v>0.58111587982832613</v>
      </c>
    </row>
    <row r="476" spans="2:14">
      <c r="B476" s="72">
        <v>127835</v>
      </c>
      <c r="C476" s="47" t="s">
        <v>1814</v>
      </c>
      <c r="D476" s="123">
        <f>SUMIF(B$3:B$3844,B476,M$3:M$3844)/(SUMIF(B$3:B$3844,B476,J$3:J$3844))</f>
        <v>0.65461410469729941</v>
      </c>
      <c r="E476" s="47">
        <v>38307</v>
      </c>
      <c r="F476" s="48" t="s">
        <v>1833</v>
      </c>
      <c r="G476" s="47"/>
      <c r="H476" s="47"/>
      <c r="I476" s="40">
        <v>368</v>
      </c>
      <c r="J476" s="40">
        <v>621</v>
      </c>
      <c r="K476" s="118"/>
      <c r="L476" s="119"/>
      <c r="M476" s="110">
        <f>IF(L476="",I476,(MIN(J476,(L476*1.6*J476))))</f>
        <v>368</v>
      </c>
      <c r="N476" s="111">
        <f>IF(M476=0,0,(M476/J476))</f>
        <v>0.59259259259259256</v>
      </c>
    </row>
    <row r="477" spans="2:14">
      <c r="B477" s="73">
        <v>127835</v>
      </c>
      <c r="C477" s="23" t="s">
        <v>1814</v>
      </c>
      <c r="D477" s="123">
        <f>SUMIF(B$3:B$3844,B477,M$3:M$3844)/(SUMIF(B$3:B$3844,B477,J$3:J$3844))</f>
        <v>0.65461410469729941</v>
      </c>
      <c r="E477" s="23">
        <v>38294</v>
      </c>
      <c r="F477" s="46" t="s">
        <v>1834</v>
      </c>
      <c r="G477" s="23"/>
      <c r="H477" s="23"/>
      <c r="I477" s="41">
        <v>349</v>
      </c>
      <c r="J477" s="41">
        <v>606</v>
      </c>
      <c r="K477" s="118"/>
      <c r="L477" s="119"/>
      <c r="M477" s="110">
        <f>IF(L477="",I477,(MIN(J477,(L477*1.6*J477))))</f>
        <v>349</v>
      </c>
      <c r="N477" s="111">
        <f>IF(M477=0,0,(M477/J477))</f>
        <v>0.57590759075907594</v>
      </c>
    </row>
    <row r="478" spans="2:14">
      <c r="B478" s="73">
        <v>127864</v>
      </c>
      <c r="C478" s="23" t="s">
        <v>1835</v>
      </c>
      <c r="D478" s="123">
        <f>SUMIF(B$3:B$3844,B478,M$3:M$3844)/(SUMIF(B$3:B$3844,B478,J$3:J$3844))</f>
        <v>0.66710875331564989</v>
      </c>
      <c r="E478" s="23">
        <v>210112</v>
      </c>
      <c r="F478" s="46" t="s">
        <v>1836</v>
      </c>
      <c r="G478" s="23"/>
      <c r="H478" s="23"/>
      <c r="I478" s="41">
        <v>28</v>
      </c>
      <c r="J478" s="41">
        <v>92</v>
      </c>
      <c r="K478" s="118"/>
      <c r="L478" s="119"/>
      <c r="M478" s="110">
        <f>IF(L478="",I478,(MIN(J478,(L478*1.6*J478))))</f>
        <v>28</v>
      </c>
      <c r="N478" s="111">
        <f>IF(M478=0,0,(M478/J478))</f>
        <v>0.30434782608695654</v>
      </c>
    </row>
    <row r="479" spans="2:14">
      <c r="B479" s="72">
        <v>127864</v>
      </c>
      <c r="C479" s="47" t="s">
        <v>1835</v>
      </c>
      <c r="D479" s="123">
        <f>SUMIF(B$3:B$3844,B479,M$3:M$3844)/(SUMIF(B$3:B$3844,B479,J$3:J$3844))</f>
        <v>0.66710875331564989</v>
      </c>
      <c r="E479" s="47">
        <v>16053057</v>
      </c>
      <c r="F479" s="48" t="s">
        <v>1837</v>
      </c>
      <c r="G479" s="47"/>
      <c r="H479" s="47"/>
      <c r="I479" s="40">
        <v>481</v>
      </c>
      <c r="J479" s="40">
        <v>723</v>
      </c>
      <c r="K479" s="118"/>
      <c r="L479" s="119"/>
      <c r="M479" s="110">
        <f>IF(L479="",I479,(MIN(J479,(L479*1.6*J479))))</f>
        <v>481</v>
      </c>
      <c r="N479" s="111">
        <f>IF(M479=0,0,(M479/J479))</f>
        <v>0.66528354080221297</v>
      </c>
    </row>
    <row r="480" spans="2:14">
      <c r="B480" s="73">
        <v>127864</v>
      </c>
      <c r="C480" s="23" t="s">
        <v>1835</v>
      </c>
      <c r="D480" s="123">
        <f>SUMIF(B$3:B$3844,B480,M$3:M$3844)/(SUMIF(B$3:B$3844,B480,J$3:J$3844))</f>
        <v>0.66710875331564989</v>
      </c>
      <c r="E480" s="23">
        <v>215111</v>
      </c>
      <c r="F480" s="46" t="s">
        <v>1838</v>
      </c>
      <c r="G480" s="23"/>
      <c r="H480" s="23"/>
      <c r="I480" s="41">
        <v>79</v>
      </c>
      <c r="J480" s="41">
        <v>96</v>
      </c>
      <c r="K480" s="118"/>
      <c r="L480" s="119"/>
      <c r="M480" s="110">
        <f>IF(L480="",I480,(MIN(J480,(L480*1.6*J480))))</f>
        <v>79</v>
      </c>
      <c r="N480" s="111">
        <f>IF(M480=0,0,(M480/J480))</f>
        <v>0.82291666666666663</v>
      </c>
    </row>
    <row r="481" spans="2:14">
      <c r="B481" s="72">
        <v>127864</v>
      </c>
      <c r="C481" s="47" t="s">
        <v>1835</v>
      </c>
      <c r="D481" s="123">
        <f>SUMIF(B$3:B$3844,B481,M$3:M$3844)/(SUMIF(B$3:B$3844,B481,J$3:J$3844))</f>
        <v>0.66710875331564989</v>
      </c>
      <c r="E481" s="47">
        <v>38549</v>
      </c>
      <c r="F481" s="48" t="s">
        <v>1839</v>
      </c>
      <c r="G481" s="47"/>
      <c r="H481" s="47"/>
      <c r="I481" s="40">
        <v>857</v>
      </c>
      <c r="J481" s="40">
        <v>1516</v>
      </c>
      <c r="K481" s="118"/>
      <c r="L481" s="119"/>
      <c r="M481" s="110">
        <f>IF(L481="",I481,(MIN(J481,(L481*1.6*J481))))</f>
        <v>857</v>
      </c>
      <c r="N481" s="111">
        <f>IF(M481=0,0,(M481/J481))</f>
        <v>0.56530343007915562</v>
      </c>
    </row>
    <row r="482" spans="2:14">
      <c r="B482" s="73">
        <v>127864</v>
      </c>
      <c r="C482" s="23" t="s">
        <v>1835</v>
      </c>
      <c r="D482" s="123">
        <f>SUMIF(B$3:B$3844,B482,M$3:M$3844)/(SUMIF(B$3:B$3844,B482,J$3:J$3844))</f>
        <v>0.66710875331564989</v>
      </c>
      <c r="E482" s="23">
        <v>38535</v>
      </c>
      <c r="F482" s="46" t="s">
        <v>1840</v>
      </c>
      <c r="G482" s="23"/>
      <c r="H482" s="23"/>
      <c r="I482" s="41">
        <v>554</v>
      </c>
      <c r="J482" s="41">
        <v>746</v>
      </c>
      <c r="K482" s="118"/>
      <c r="L482" s="119"/>
      <c r="M482" s="110">
        <f>IF(L482="",I482,(MIN(J482,(L482*1.6*J482))))</f>
        <v>554</v>
      </c>
      <c r="N482" s="111">
        <f>IF(M482=0,0,(M482/J482))</f>
        <v>0.74262734584450407</v>
      </c>
    </row>
    <row r="483" spans="2:14">
      <c r="B483" s="72">
        <v>127864</v>
      </c>
      <c r="C483" s="47" t="s">
        <v>1835</v>
      </c>
      <c r="D483" s="123">
        <f>SUMIF(B$3:B$3844,B483,M$3:M$3844)/(SUMIF(B$3:B$3844,B483,J$3:J$3844))</f>
        <v>0.66710875331564989</v>
      </c>
      <c r="E483" s="47">
        <v>38536</v>
      </c>
      <c r="F483" s="48" t="s">
        <v>1841</v>
      </c>
      <c r="G483" s="47"/>
      <c r="H483" s="47"/>
      <c r="I483" s="40">
        <v>524</v>
      </c>
      <c r="J483" s="40">
        <v>812</v>
      </c>
      <c r="K483" s="118"/>
      <c r="L483" s="119"/>
      <c r="M483" s="110">
        <f>IF(L483="",I483,(MIN(J483,(L483*1.6*J483))))</f>
        <v>524</v>
      </c>
      <c r="N483" s="111">
        <f>IF(M483=0,0,(M483/J483))</f>
        <v>0.64532019704433496</v>
      </c>
    </row>
    <row r="484" spans="2:14">
      <c r="B484" s="73">
        <v>127864</v>
      </c>
      <c r="C484" s="23" t="s">
        <v>1835</v>
      </c>
      <c r="D484" s="123">
        <f>SUMIF(B$3:B$3844,B484,M$3:M$3844)/(SUMIF(B$3:B$3844,B484,J$3:J$3844))</f>
        <v>0.66710875331564989</v>
      </c>
      <c r="E484" s="23">
        <v>38551</v>
      </c>
      <c r="F484" s="46" t="s">
        <v>1842</v>
      </c>
      <c r="G484" s="23"/>
      <c r="H484" s="23"/>
      <c r="I484" s="41">
        <v>93</v>
      </c>
      <c r="J484" s="41">
        <v>124</v>
      </c>
      <c r="K484" s="118"/>
      <c r="L484" s="119"/>
      <c r="M484" s="110">
        <f>IF(L484="",I484,(MIN(J484,(L484*1.6*J484))))</f>
        <v>93</v>
      </c>
      <c r="N484" s="111">
        <f>IF(M484=0,0,(M484/J484))</f>
        <v>0.75</v>
      </c>
    </row>
    <row r="485" spans="2:14">
      <c r="B485" s="72">
        <v>127864</v>
      </c>
      <c r="C485" s="47" t="s">
        <v>1835</v>
      </c>
      <c r="D485" s="123">
        <f>SUMIF(B$3:B$3844,B485,M$3:M$3844)/(SUMIF(B$3:B$3844,B485,J$3:J$3844))</f>
        <v>0.66710875331564989</v>
      </c>
      <c r="E485" s="47">
        <v>38524</v>
      </c>
      <c r="F485" s="48" t="s">
        <v>1843</v>
      </c>
      <c r="G485" s="47"/>
      <c r="H485" s="47"/>
      <c r="I485" s="40">
        <v>808</v>
      </c>
      <c r="J485" s="40">
        <v>1384</v>
      </c>
      <c r="K485" s="118"/>
      <c r="L485" s="119"/>
      <c r="M485" s="110">
        <f>IF(L485="",I485,(MIN(J485,(L485*1.6*J485))))</f>
        <v>808</v>
      </c>
      <c r="N485" s="111">
        <f>IF(M485=0,0,(M485/J485))</f>
        <v>0.58381502890173409</v>
      </c>
    </row>
    <row r="486" spans="2:14">
      <c r="B486" s="73">
        <v>127864</v>
      </c>
      <c r="C486" s="23" t="s">
        <v>1835</v>
      </c>
      <c r="D486" s="123">
        <f>SUMIF(B$3:B$3844,B486,M$3:M$3844)/(SUMIF(B$3:B$3844,B486,J$3:J$3844))</f>
        <v>0.66710875331564989</v>
      </c>
      <c r="E486" s="23">
        <v>38526</v>
      </c>
      <c r="F486" s="46" t="s">
        <v>1844</v>
      </c>
      <c r="G486" s="23"/>
      <c r="H486" s="23"/>
      <c r="I486" s="41">
        <v>529</v>
      </c>
      <c r="J486" s="41">
        <v>749</v>
      </c>
      <c r="K486" s="118"/>
      <c r="L486" s="119"/>
      <c r="M486" s="110">
        <f>IF(L486="",I486,(MIN(J486,(L486*1.6*J486))))</f>
        <v>529</v>
      </c>
      <c r="N486" s="111">
        <f>IF(M486=0,0,(M486/J486))</f>
        <v>0.70627503337783715</v>
      </c>
    </row>
    <row r="487" spans="2:14">
      <c r="B487" s="72">
        <v>127864</v>
      </c>
      <c r="C487" s="47" t="s">
        <v>1835</v>
      </c>
      <c r="D487" s="123">
        <f>SUMIF(B$3:B$3844,B487,M$3:M$3844)/(SUMIF(B$3:B$3844,B487,J$3:J$3844))</f>
        <v>0.66710875331564989</v>
      </c>
      <c r="E487" s="47">
        <v>38527</v>
      </c>
      <c r="F487" s="48" t="s">
        <v>1845</v>
      </c>
      <c r="G487" s="47"/>
      <c r="H487" s="47"/>
      <c r="I487" s="40">
        <v>502</v>
      </c>
      <c r="J487" s="40">
        <v>617</v>
      </c>
      <c r="K487" s="118"/>
      <c r="L487" s="119"/>
      <c r="M487" s="110">
        <f>IF(L487="",I487,(MIN(J487,(L487*1.6*J487))))</f>
        <v>502</v>
      </c>
      <c r="N487" s="111">
        <f>IF(M487=0,0,(M487/J487))</f>
        <v>0.81361426256077796</v>
      </c>
    </row>
    <row r="488" spans="2:14">
      <c r="B488" s="73">
        <v>127864</v>
      </c>
      <c r="C488" s="23" t="s">
        <v>1835</v>
      </c>
      <c r="D488" s="123">
        <f>SUMIF(B$3:B$3844,B488,M$3:M$3844)/(SUMIF(B$3:B$3844,B488,J$3:J$3844))</f>
        <v>0.66710875331564989</v>
      </c>
      <c r="E488" s="23">
        <v>38537</v>
      </c>
      <c r="F488" s="46" t="s">
        <v>1846</v>
      </c>
      <c r="G488" s="23"/>
      <c r="H488" s="23"/>
      <c r="I488" s="41">
        <v>264</v>
      </c>
      <c r="J488" s="41">
        <v>323</v>
      </c>
      <c r="K488" s="118"/>
      <c r="L488" s="119"/>
      <c r="M488" s="110">
        <f>IF(L488="",I488,(MIN(J488,(L488*1.6*J488))))</f>
        <v>264</v>
      </c>
      <c r="N488" s="111">
        <f>IF(M488=0,0,(M488/J488))</f>
        <v>0.8173374613003096</v>
      </c>
    </row>
    <row r="489" spans="2:14">
      <c r="B489" s="72">
        <v>127864</v>
      </c>
      <c r="C489" s="47" t="s">
        <v>1835</v>
      </c>
      <c r="D489" s="123">
        <f>SUMIF(B$3:B$3844,B489,M$3:M$3844)/(SUMIF(B$3:B$3844,B489,J$3:J$3844))</f>
        <v>0.66710875331564989</v>
      </c>
      <c r="E489" s="47">
        <v>223794</v>
      </c>
      <c r="F489" s="48" t="s">
        <v>1847</v>
      </c>
      <c r="G489" s="47"/>
      <c r="H489" s="47"/>
      <c r="I489" s="40">
        <v>556</v>
      </c>
      <c r="J489" s="40">
        <v>723</v>
      </c>
      <c r="K489" s="118"/>
      <c r="L489" s="119"/>
      <c r="M489" s="110">
        <f>IF(L489="",I489,(MIN(J489,(L489*1.6*J489))))</f>
        <v>556</v>
      </c>
      <c r="N489" s="111">
        <f>IF(M489=0,0,(M489/J489))</f>
        <v>0.76901798063623794</v>
      </c>
    </row>
    <row r="490" spans="2:14">
      <c r="B490" s="73">
        <v>127864</v>
      </c>
      <c r="C490" s="23" t="s">
        <v>1835</v>
      </c>
      <c r="D490" s="123">
        <f>SUMIF(B$3:B$3844,B490,M$3:M$3844)/(SUMIF(B$3:B$3844,B490,J$3:J$3844))</f>
        <v>0.66710875331564989</v>
      </c>
      <c r="E490" s="23">
        <v>38541</v>
      </c>
      <c r="F490" s="46" t="s">
        <v>1848</v>
      </c>
      <c r="G490" s="23"/>
      <c r="H490" s="23"/>
      <c r="I490" s="41">
        <v>514</v>
      </c>
      <c r="J490" s="41">
        <v>708</v>
      </c>
      <c r="K490" s="118"/>
      <c r="L490" s="119"/>
      <c r="M490" s="110">
        <f>IF(L490="",I490,(MIN(J490,(L490*1.6*J490))))</f>
        <v>514</v>
      </c>
      <c r="N490" s="111">
        <f>IF(M490=0,0,(M490/J490))</f>
        <v>0.72598870056497178</v>
      </c>
    </row>
    <row r="491" spans="2:14">
      <c r="B491" s="72">
        <v>127864</v>
      </c>
      <c r="C491" s="47" t="s">
        <v>1835</v>
      </c>
      <c r="D491" s="123">
        <f>SUMIF(B$3:B$3844,B491,M$3:M$3844)/(SUMIF(B$3:B$3844,B491,J$3:J$3844))</f>
        <v>0.66710875331564989</v>
      </c>
      <c r="E491" s="47">
        <v>38600</v>
      </c>
      <c r="F491" s="48" t="s">
        <v>1849</v>
      </c>
      <c r="G491" s="47"/>
      <c r="H491" s="47"/>
      <c r="I491" s="40">
        <v>270</v>
      </c>
      <c r="J491" s="40">
        <v>335</v>
      </c>
      <c r="K491" s="118"/>
      <c r="L491" s="119"/>
      <c r="M491" s="110">
        <f>IF(L491="",I491,(MIN(J491,(L491*1.6*J491))))</f>
        <v>270</v>
      </c>
      <c r="N491" s="111">
        <f>IF(M491=0,0,(M491/J491))</f>
        <v>0.80597014925373134</v>
      </c>
    </row>
    <row r="492" spans="2:14">
      <c r="B492" s="73">
        <v>127864</v>
      </c>
      <c r="C492" s="23" t="s">
        <v>1835</v>
      </c>
      <c r="D492" s="123">
        <f>SUMIF(B$3:B$3844,B492,M$3:M$3844)/(SUMIF(B$3:B$3844,B492,J$3:J$3844))</f>
        <v>0.66710875331564989</v>
      </c>
      <c r="E492" s="23">
        <v>38545</v>
      </c>
      <c r="F492" s="46" t="s">
        <v>1850</v>
      </c>
      <c r="G492" s="23"/>
      <c r="H492" s="23"/>
      <c r="I492" s="41">
        <v>664</v>
      </c>
      <c r="J492" s="41">
        <v>1023</v>
      </c>
      <c r="K492" s="118"/>
      <c r="L492" s="119"/>
      <c r="M492" s="110">
        <f>IF(L492="",I492,(MIN(J492,(L492*1.6*J492))))</f>
        <v>664</v>
      </c>
      <c r="N492" s="111">
        <f>IF(M492=0,0,(M492/J492))</f>
        <v>0.64907135874877808</v>
      </c>
    </row>
    <row r="493" spans="2:14">
      <c r="B493" s="72">
        <v>127864</v>
      </c>
      <c r="C493" s="47" t="s">
        <v>1835</v>
      </c>
      <c r="D493" s="123">
        <f>SUMIF(B$3:B$3844,B493,M$3:M$3844)/(SUMIF(B$3:B$3844,B493,J$3:J$3844))</f>
        <v>0.66710875331564989</v>
      </c>
      <c r="E493" s="47">
        <v>38548</v>
      </c>
      <c r="F493" s="48" t="s">
        <v>1851</v>
      </c>
      <c r="G493" s="47"/>
      <c r="H493" s="47"/>
      <c r="I493" s="40">
        <v>465</v>
      </c>
      <c r="J493" s="40">
        <v>662</v>
      </c>
      <c r="K493" s="118"/>
      <c r="L493" s="119"/>
      <c r="M493" s="110">
        <f>IF(L493="",I493,(MIN(J493,(L493*1.6*J493))))</f>
        <v>465</v>
      </c>
      <c r="N493" s="111">
        <f>IF(M493=0,0,(M493/J493))</f>
        <v>0.702416918429003</v>
      </c>
    </row>
    <row r="494" spans="2:14">
      <c r="B494" s="73">
        <v>127864</v>
      </c>
      <c r="C494" s="23" t="s">
        <v>1835</v>
      </c>
      <c r="D494" s="123">
        <f>SUMIF(B$3:B$3844,B494,M$3:M$3844)/(SUMIF(B$3:B$3844,B494,J$3:J$3844))</f>
        <v>0.66710875331564989</v>
      </c>
      <c r="E494" s="23">
        <v>38554</v>
      </c>
      <c r="F494" s="46" t="s">
        <v>1852</v>
      </c>
      <c r="G494" s="23"/>
      <c r="H494" s="23"/>
      <c r="I494" s="41">
        <v>839</v>
      </c>
      <c r="J494" s="41">
        <v>1567</v>
      </c>
      <c r="K494" s="118"/>
      <c r="L494" s="119"/>
      <c r="M494" s="110">
        <f>IF(L494="",I494,(MIN(J494,(L494*1.6*J494))))</f>
        <v>839</v>
      </c>
      <c r="N494" s="111">
        <f>IF(M494=0,0,(M494/J494))</f>
        <v>0.53541799617102748</v>
      </c>
    </row>
    <row r="495" spans="2:14">
      <c r="B495" s="72">
        <v>127864</v>
      </c>
      <c r="C495" s="47" t="s">
        <v>1835</v>
      </c>
      <c r="D495" s="123">
        <f>SUMIF(B$3:B$3844,B495,M$3:M$3844)/(SUMIF(B$3:B$3844,B495,J$3:J$3844))</f>
        <v>0.66710875331564989</v>
      </c>
      <c r="E495" s="47">
        <v>38555</v>
      </c>
      <c r="F495" s="48" t="s">
        <v>1853</v>
      </c>
      <c r="G495" s="47"/>
      <c r="H495" s="47"/>
      <c r="I495" s="40">
        <v>480</v>
      </c>
      <c r="J495" s="40">
        <v>738</v>
      </c>
      <c r="K495" s="118"/>
      <c r="L495" s="119"/>
      <c r="M495" s="110">
        <f>IF(L495="",I495,(MIN(J495,(L495*1.6*J495))))</f>
        <v>480</v>
      </c>
      <c r="N495" s="111">
        <f>IF(M495=0,0,(M495/J495))</f>
        <v>0.65040650406504064</v>
      </c>
    </row>
    <row r="496" spans="2:14">
      <c r="B496" s="73">
        <v>127864</v>
      </c>
      <c r="C496" s="23" t="s">
        <v>1835</v>
      </c>
      <c r="D496" s="123">
        <f>SUMIF(B$3:B$3844,B496,M$3:M$3844)/(SUMIF(B$3:B$3844,B496,J$3:J$3844))</f>
        <v>0.66710875331564989</v>
      </c>
      <c r="E496" s="23">
        <v>38556</v>
      </c>
      <c r="F496" s="46" t="s">
        <v>1854</v>
      </c>
      <c r="G496" s="23"/>
      <c r="H496" s="23"/>
      <c r="I496" s="41">
        <v>549</v>
      </c>
      <c r="J496" s="41">
        <v>772</v>
      </c>
      <c r="K496" s="118"/>
      <c r="L496" s="119"/>
      <c r="M496" s="110">
        <f>IF(L496="",I496,(MIN(J496,(L496*1.6*J496))))</f>
        <v>549</v>
      </c>
      <c r="N496" s="111">
        <f>IF(M496=0,0,(M496/J496))</f>
        <v>0.71113989637305697</v>
      </c>
    </row>
    <row r="497" spans="2:14">
      <c r="B497" s="72">
        <v>127864</v>
      </c>
      <c r="C497" s="47" t="s">
        <v>1835</v>
      </c>
      <c r="D497" s="123">
        <f>SUMIF(B$3:B$3844,B497,M$3:M$3844)/(SUMIF(B$3:B$3844,B497,J$3:J$3844))</f>
        <v>0.66710875331564989</v>
      </c>
      <c r="E497" s="47">
        <v>38550</v>
      </c>
      <c r="F497" s="48" t="s">
        <v>825</v>
      </c>
      <c r="G497" s="47"/>
      <c r="H497" s="47"/>
      <c r="I497" s="40">
        <v>551</v>
      </c>
      <c r="J497" s="40">
        <v>755</v>
      </c>
      <c r="K497" s="118"/>
      <c r="L497" s="119"/>
      <c r="M497" s="110">
        <f>IF(L497="",I497,(MIN(J497,(L497*1.6*J497))))</f>
        <v>551</v>
      </c>
      <c r="N497" s="111">
        <f>IF(M497=0,0,(M497/J497))</f>
        <v>0.72980132450331126</v>
      </c>
    </row>
    <row r="498" spans="2:14">
      <c r="B498" s="73">
        <v>127864</v>
      </c>
      <c r="C498" s="23" t="s">
        <v>1835</v>
      </c>
      <c r="D498" s="123">
        <f>SUMIF(B$3:B$3844,B498,M$3:M$3844)/(SUMIF(B$3:B$3844,B498,J$3:J$3844))</f>
        <v>0.66710875331564989</v>
      </c>
      <c r="E498" s="23">
        <v>38543</v>
      </c>
      <c r="F498" s="46" t="s">
        <v>1855</v>
      </c>
      <c r="G498" s="23"/>
      <c r="H498" s="23"/>
      <c r="I498" s="41">
        <v>453</v>
      </c>
      <c r="J498" s="41">
        <v>615</v>
      </c>
      <c r="K498" s="118"/>
      <c r="L498" s="119"/>
      <c r="M498" s="110">
        <f>IF(L498="",I498,(MIN(J498,(L498*1.6*J498))))</f>
        <v>453</v>
      </c>
      <c r="N498" s="111">
        <f>IF(M498=0,0,(M498/J498))</f>
        <v>0.73658536585365852</v>
      </c>
    </row>
    <row r="499" spans="2:14">
      <c r="B499" s="72">
        <v>127864</v>
      </c>
      <c r="C499" s="47" t="s">
        <v>1835</v>
      </c>
      <c r="D499" s="123">
        <f>SUMIF(B$3:B$3844,B499,M$3:M$3844)/(SUMIF(B$3:B$3844,B499,J$3:J$3844))</f>
        <v>0.66710875331564989</v>
      </c>
      <c r="E499" s="47">
        <v>38546</v>
      </c>
      <c r="F499" s="48" t="s">
        <v>1856</v>
      </c>
      <c r="G499" s="47"/>
      <c r="H499" s="47"/>
      <c r="I499" s="40"/>
      <c r="J499" s="40">
        <v>0</v>
      </c>
      <c r="K499" s="118"/>
      <c r="L499" s="119"/>
      <c r="M499" s="110">
        <f>IF(L499="",I499,(MIN(J499,(L499*1.6*J499))))</f>
        <v>0</v>
      </c>
      <c r="N499" s="111">
        <f>IF(M499=0,0,(M499/J499))</f>
        <v>0</v>
      </c>
    </row>
    <row r="500" spans="2:14">
      <c r="B500" s="73">
        <v>127549</v>
      </c>
      <c r="C500" s="23" t="s">
        <v>1857</v>
      </c>
      <c r="D500" s="123">
        <f>SUMIF(B$3:B$3844,B500,M$3:M$3844)/(SUMIF(B$3:B$3844,B500,J$3:J$3844))</f>
        <v>0.45828027241016556</v>
      </c>
      <c r="E500" s="23">
        <v>16025501</v>
      </c>
      <c r="F500" s="46" t="s">
        <v>1858</v>
      </c>
      <c r="G500" s="23"/>
      <c r="H500" s="23"/>
      <c r="I500" s="41">
        <v>257</v>
      </c>
      <c r="J500" s="41">
        <v>601</v>
      </c>
      <c r="K500" s="20"/>
      <c r="L500" s="21"/>
      <c r="M500" s="110">
        <f>IF(L500="",I500,(MIN(J500,(L500*1.6*J500))))</f>
        <v>257</v>
      </c>
      <c r="N500" s="111">
        <f>IF(M500=0,0,(M500/J500))</f>
        <v>0.42762063227953412</v>
      </c>
    </row>
    <row r="501" spans="2:14">
      <c r="B501" s="72">
        <v>127549</v>
      </c>
      <c r="C501" s="47" t="s">
        <v>1857</v>
      </c>
      <c r="D501" s="123">
        <f>SUMIF(B$3:B$3844,B501,M$3:M$3844)/(SUMIF(B$3:B$3844,B501,J$3:J$3844))</f>
        <v>0.45828027241016556</v>
      </c>
      <c r="E501" s="47">
        <v>34768</v>
      </c>
      <c r="F501" s="48" t="s">
        <v>1859</v>
      </c>
      <c r="G501" s="47"/>
      <c r="H501" s="47"/>
      <c r="I501" s="40"/>
      <c r="J501" s="40">
        <v>834</v>
      </c>
      <c r="K501" s="20">
        <v>2015</v>
      </c>
      <c r="L501" s="21">
        <v>0.62759999999999994</v>
      </c>
      <c r="M501" s="110">
        <f>IF(L501="",I501,(MIN(J501,(L501*1.6*J501))))</f>
        <v>834</v>
      </c>
      <c r="N501" s="111">
        <f>IF(M501=0,0,(M501/J501))</f>
        <v>1</v>
      </c>
    </row>
    <row r="502" spans="2:14" ht="30">
      <c r="B502" s="73">
        <v>127549</v>
      </c>
      <c r="C502" s="23" t="s">
        <v>1857</v>
      </c>
      <c r="D502" s="123">
        <f>SUMIF(B$3:B$3844,B502,M$3:M$3844)/(SUMIF(B$3:B$3844,B502,J$3:J$3844))</f>
        <v>0.45828027241016556</v>
      </c>
      <c r="E502" s="23">
        <v>34829</v>
      </c>
      <c r="F502" s="46" t="s">
        <v>1860</v>
      </c>
      <c r="G502" s="23"/>
      <c r="H502" s="23"/>
      <c r="I502" s="41"/>
      <c r="J502" s="41">
        <v>0</v>
      </c>
      <c r="K502" s="20"/>
      <c r="L502" s="21"/>
      <c r="M502" s="110">
        <f>IF(L502="",I502,(MIN(J502,(L502*1.6*J502))))</f>
        <v>0</v>
      </c>
      <c r="N502" s="111">
        <f>IF(M502=0,0,(M502/J502))</f>
        <v>0</v>
      </c>
    </row>
    <row r="503" spans="2:14">
      <c r="B503" s="72">
        <v>127549</v>
      </c>
      <c r="C503" s="47" t="s">
        <v>1857</v>
      </c>
      <c r="D503" s="123">
        <f>SUMIF(B$3:B$3844,B503,M$3:M$3844)/(SUMIF(B$3:B$3844,B503,J$3:J$3844))</f>
        <v>0.45828027241016556</v>
      </c>
      <c r="E503" s="47">
        <v>34771</v>
      </c>
      <c r="F503" s="48" t="s">
        <v>1861</v>
      </c>
      <c r="G503" s="47"/>
      <c r="H503" s="47"/>
      <c r="I503" s="40">
        <v>539</v>
      </c>
      <c r="J503" s="40">
        <v>1441</v>
      </c>
      <c r="K503" s="20"/>
      <c r="L503" s="21"/>
      <c r="M503" s="110">
        <f>IF(L503="",I503,(MIN(J503,(L503*1.6*J503))))</f>
        <v>539</v>
      </c>
      <c r="N503" s="111">
        <f>IF(M503=0,0,(M503/J503))</f>
        <v>0.37404580152671757</v>
      </c>
    </row>
    <row r="504" spans="2:14">
      <c r="B504" s="73">
        <v>127549</v>
      </c>
      <c r="C504" s="23" t="s">
        <v>1857</v>
      </c>
      <c r="D504" s="123">
        <f>SUMIF(B$3:B$3844,B504,M$3:M$3844)/(SUMIF(B$3:B$3844,B504,J$3:J$3844))</f>
        <v>0.45828027241016556</v>
      </c>
      <c r="E504" s="23">
        <v>35168</v>
      </c>
      <c r="F504" s="46" t="s">
        <v>1862</v>
      </c>
      <c r="G504" s="23"/>
      <c r="H504" s="23"/>
      <c r="I504" s="41"/>
      <c r="J504" s="41">
        <v>427</v>
      </c>
      <c r="K504" s="20">
        <v>2015</v>
      </c>
      <c r="L504" s="21">
        <v>0.62759999999999994</v>
      </c>
      <c r="M504" s="110">
        <f>IF(L504="",I504,(MIN(J504,(L504*1.6*J504))))</f>
        <v>427</v>
      </c>
      <c r="N504" s="111">
        <f>IF(M504=0,0,(M504/J504))</f>
        <v>1</v>
      </c>
    </row>
    <row r="505" spans="2:14">
      <c r="B505" s="72">
        <v>127549</v>
      </c>
      <c r="C505" s="47" t="s">
        <v>1857</v>
      </c>
      <c r="D505" s="123">
        <f>SUMIF(B$3:B$3844,B505,M$3:M$3844)/(SUMIF(B$3:B$3844,B505,J$3:J$3844))</f>
        <v>0.45828027241016556</v>
      </c>
      <c r="E505" s="47">
        <v>16083732</v>
      </c>
      <c r="F505" s="48" t="s">
        <v>1863</v>
      </c>
      <c r="G505" s="47"/>
      <c r="H505" s="47"/>
      <c r="I505" s="40"/>
      <c r="J505" s="40">
        <v>0</v>
      </c>
      <c r="K505" s="20"/>
      <c r="L505" s="21"/>
      <c r="M505" s="110">
        <f>IF(L505="",I505,(MIN(J505,(L505*1.6*J505))))</f>
        <v>0</v>
      </c>
      <c r="N505" s="111">
        <f>IF(M505=0,0,(M505/J505))</f>
        <v>0</v>
      </c>
    </row>
    <row r="506" spans="2:14">
      <c r="B506" s="73">
        <v>127549</v>
      </c>
      <c r="C506" s="23" t="s">
        <v>1857</v>
      </c>
      <c r="D506" s="123">
        <f>SUMIF(B$3:B$3844,B506,M$3:M$3844)/(SUMIF(B$3:B$3844,B506,J$3:J$3844))</f>
        <v>0.45828027241016556</v>
      </c>
      <c r="E506" s="23">
        <v>16082742</v>
      </c>
      <c r="F506" s="46" t="s">
        <v>1864</v>
      </c>
      <c r="G506" s="23"/>
      <c r="H506" s="23"/>
      <c r="I506" s="41">
        <v>11</v>
      </c>
      <c r="J506" s="41">
        <v>240</v>
      </c>
      <c r="K506" s="20"/>
      <c r="L506" s="21"/>
      <c r="M506" s="110">
        <f>IF(L506="",I506,(MIN(J506,(L506*1.6*J506))))</f>
        <v>11</v>
      </c>
      <c r="N506" s="111">
        <f>IF(M506=0,0,(M506/J506))</f>
        <v>4.583333333333333E-2</v>
      </c>
    </row>
    <row r="507" spans="2:14">
      <c r="B507" s="72">
        <v>127549</v>
      </c>
      <c r="C507" s="47" t="s">
        <v>1857</v>
      </c>
      <c r="D507" s="123">
        <f>SUMIF(B$3:B$3844,B507,M$3:M$3844)/(SUMIF(B$3:B$3844,B507,J$3:J$3844))</f>
        <v>0.45828027241016556</v>
      </c>
      <c r="E507" s="47">
        <v>16083734</v>
      </c>
      <c r="F507" s="48" t="s">
        <v>1865</v>
      </c>
      <c r="G507" s="47"/>
      <c r="H507" s="47"/>
      <c r="I507" s="40"/>
      <c r="J507" s="40" t="s">
        <v>798</v>
      </c>
      <c r="K507" s="20"/>
      <c r="L507" s="21"/>
      <c r="M507" s="110">
        <f>IF(L507="",I507,(MIN(J507,(L507*1.6*J507))))</f>
        <v>0</v>
      </c>
      <c r="N507" s="111">
        <f>IF(M507=0,0,(M507/J507))</f>
        <v>0</v>
      </c>
    </row>
    <row r="508" spans="2:14">
      <c r="B508" s="73">
        <v>127549</v>
      </c>
      <c r="C508" s="23" t="s">
        <v>1857</v>
      </c>
      <c r="D508" s="123">
        <f>SUMIF(B$3:B$3844,B508,M$3:M$3844)/(SUMIF(B$3:B$3844,B508,J$3:J$3844))</f>
        <v>0.45828027241016556</v>
      </c>
      <c r="E508" s="23">
        <v>16042812</v>
      </c>
      <c r="F508" s="46" t="s">
        <v>1866</v>
      </c>
      <c r="G508" s="23"/>
      <c r="H508" s="23"/>
      <c r="I508" s="41">
        <v>289</v>
      </c>
      <c r="J508" s="41">
        <v>489</v>
      </c>
      <c r="K508" s="20"/>
      <c r="L508" s="21"/>
      <c r="M508" s="110">
        <f>IF(L508="",I508,(MIN(J508,(L508*1.6*J508))))</f>
        <v>289</v>
      </c>
      <c r="N508" s="111">
        <f>IF(M508=0,0,(M508/J508))</f>
        <v>0.59100204498977504</v>
      </c>
    </row>
    <row r="509" spans="2:14">
      <c r="B509" s="72">
        <v>127549</v>
      </c>
      <c r="C509" s="47" t="s">
        <v>1857</v>
      </c>
      <c r="D509" s="123">
        <f>SUMIF(B$3:B$3844,B509,M$3:M$3844)/(SUMIF(B$3:B$3844,B509,J$3:J$3844))</f>
        <v>0.45828027241016556</v>
      </c>
      <c r="E509" s="47">
        <v>34816</v>
      </c>
      <c r="F509" s="48" t="s">
        <v>1867</v>
      </c>
      <c r="G509" s="47"/>
      <c r="H509" s="47"/>
      <c r="I509" s="40">
        <v>402</v>
      </c>
      <c r="J509" s="40">
        <v>732</v>
      </c>
      <c r="K509" s="20"/>
      <c r="L509" s="21"/>
      <c r="M509" s="110">
        <f>IF(L509="",I509,(MIN(J509,(L509*1.6*J509))))</f>
        <v>402</v>
      </c>
      <c r="N509" s="111">
        <f>IF(M509=0,0,(M509/J509))</f>
        <v>0.54918032786885251</v>
      </c>
    </row>
    <row r="510" spans="2:14">
      <c r="B510" s="73">
        <v>127549</v>
      </c>
      <c r="C510" s="23" t="s">
        <v>1857</v>
      </c>
      <c r="D510" s="123">
        <f>SUMIF(B$3:B$3844,B510,M$3:M$3844)/(SUMIF(B$3:B$3844,B510,J$3:J$3844))</f>
        <v>0.45828027241016556</v>
      </c>
      <c r="E510" s="23">
        <v>34841</v>
      </c>
      <c r="F510" s="46" t="s">
        <v>1868</v>
      </c>
      <c r="G510" s="23"/>
      <c r="H510" s="23"/>
      <c r="I510" s="41">
        <v>130</v>
      </c>
      <c r="J510" s="41">
        <v>762</v>
      </c>
      <c r="K510" s="20"/>
      <c r="L510" s="21"/>
      <c r="M510" s="110">
        <f>IF(L510="",I510,(MIN(J510,(L510*1.6*J510))))</f>
        <v>130</v>
      </c>
      <c r="N510" s="111">
        <f>IF(M510=0,0,(M510/J510))</f>
        <v>0.17060367454068243</v>
      </c>
    </row>
    <row r="511" spans="2:14">
      <c r="B511" s="72">
        <v>127549</v>
      </c>
      <c r="C511" s="47" t="s">
        <v>1857</v>
      </c>
      <c r="D511" s="123">
        <f>SUMIF(B$3:B$3844,B511,M$3:M$3844)/(SUMIF(B$3:B$3844,B511,J$3:J$3844))</f>
        <v>0.45828027241016556</v>
      </c>
      <c r="E511" s="47">
        <v>233861</v>
      </c>
      <c r="F511" s="48" t="s">
        <v>1869</v>
      </c>
      <c r="G511" s="47"/>
      <c r="H511" s="47"/>
      <c r="I511" s="40">
        <v>373</v>
      </c>
      <c r="J511" s="40">
        <v>2232</v>
      </c>
      <c r="K511" s="20"/>
      <c r="L511" s="21"/>
      <c r="M511" s="110">
        <f>IF(L511="",I511,(MIN(J511,(L511*1.6*J511))))</f>
        <v>373</v>
      </c>
      <c r="N511" s="111">
        <f>IF(M511=0,0,(M511/J511))</f>
        <v>0.1671146953405018</v>
      </c>
    </row>
    <row r="512" spans="2:14">
      <c r="B512" s="73">
        <v>127549</v>
      </c>
      <c r="C512" s="23" t="s">
        <v>1857</v>
      </c>
      <c r="D512" s="123">
        <f>SUMIF(B$3:B$3844,B512,M$3:M$3844)/(SUMIF(B$3:B$3844,B512,J$3:J$3844))</f>
        <v>0.45828027241016556</v>
      </c>
      <c r="E512" s="23">
        <v>16082743</v>
      </c>
      <c r="F512" s="46" t="s">
        <v>1870</v>
      </c>
      <c r="G512" s="23"/>
      <c r="H512" s="23"/>
      <c r="I512" s="41">
        <v>7</v>
      </c>
      <c r="J512" s="41">
        <v>21</v>
      </c>
      <c r="K512" s="20"/>
      <c r="L512" s="21"/>
      <c r="M512" s="110">
        <f>IF(L512="",I512,(MIN(J512,(L512*1.6*J512))))</f>
        <v>7</v>
      </c>
      <c r="N512" s="111">
        <f>IF(M512=0,0,(M512/J512))</f>
        <v>0.33333333333333331</v>
      </c>
    </row>
    <row r="513" spans="2:14">
      <c r="B513" s="72">
        <v>127549</v>
      </c>
      <c r="C513" s="47" t="s">
        <v>1857</v>
      </c>
      <c r="D513" s="123">
        <f>SUMIF(B$3:B$3844,B513,M$3:M$3844)/(SUMIF(B$3:B$3844,B513,J$3:J$3844))</f>
        <v>0.45828027241016556</v>
      </c>
      <c r="E513" s="47">
        <v>226926</v>
      </c>
      <c r="F513" s="48" t="s">
        <v>1871</v>
      </c>
      <c r="G513" s="47"/>
      <c r="H513" s="47"/>
      <c r="I513" s="40"/>
      <c r="J513" s="40">
        <v>39</v>
      </c>
      <c r="K513" s="20"/>
      <c r="L513" s="21"/>
      <c r="M513" s="110">
        <f>IF(L513="",I513,(MIN(J513,(L513*1.6*J513))))</f>
        <v>0</v>
      </c>
      <c r="N513" s="111">
        <f>IF(M513=0,0,(M513/J513))</f>
        <v>0</v>
      </c>
    </row>
    <row r="514" spans="2:14">
      <c r="B514" s="73">
        <v>127549</v>
      </c>
      <c r="C514" s="23" t="s">
        <v>1857</v>
      </c>
      <c r="D514" s="123">
        <f>SUMIF(B$3:B$3844,B514,M$3:M$3844)/(SUMIF(B$3:B$3844,B514,J$3:J$3844))</f>
        <v>0.45828027241016556</v>
      </c>
      <c r="E514" s="23">
        <v>34770</v>
      </c>
      <c r="F514" s="46" t="s">
        <v>1872</v>
      </c>
      <c r="G514" s="23"/>
      <c r="H514" s="23"/>
      <c r="I514" s="41">
        <v>264</v>
      </c>
      <c r="J514" s="41">
        <v>772</v>
      </c>
      <c r="K514" s="20"/>
      <c r="L514" s="21"/>
      <c r="M514" s="110">
        <f>IF(L514="",I514,(MIN(J514,(L514*1.6*J514))))</f>
        <v>264</v>
      </c>
      <c r="N514" s="111">
        <f>IF(M514=0,0,(M514/J514))</f>
        <v>0.34196891191709844</v>
      </c>
    </row>
    <row r="515" spans="2:14">
      <c r="B515" s="72">
        <v>127549</v>
      </c>
      <c r="C515" s="47" t="s">
        <v>1857</v>
      </c>
      <c r="D515" s="123">
        <f>SUMIF(B$3:B$3844,B515,M$3:M$3844)/(SUMIF(B$3:B$3844,B515,J$3:J$3844))</f>
        <v>0.45828027241016556</v>
      </c>
      <c r="E515" s="47">
        <v>34832</v>
      </c>
      <c r="F515" s="48" t="s">
        <v>1873</v>
      </c>
      <c r="G515" s="47"/>
      <c r="H515" s="47"/>
      <c r="I515" s="40"/>
      <c r="J515" s="40">
        <v>438</v>
      </c>
      <c r="K515" s="20">
        <v>2015</v>
      </c>
      <c r="L515" s="21">
        <v>0.62759999999999994</v>
      </c>
      <c r="M515" s="110">
        <f>IF(L515="",I515,(MIN(J515,(L515*1.6*J515))))</f>
        <v>438</v>
      </c>
      <c r="N515" s="111">
        <f>IF(M515=0,0,(M515/J515))</f>
        <v>1</v>
      </c>
    </row>
    <row r="516" spans="2:14">
      <c r="B516" s="73">
        <v>127549</v>
      </c>
      <c r="C516" s="23" t="s">
        <v>1857</v>
      </c>
      <c r="D516" s="123">
        <f>SUMIF(B$3:B$3844,B516,M$3:M$3844)/(SUMIF(B$3:B$3844,B516,J$3:J$3844))</f>
        <v>0.45828027241016556</v>
      </c>
      <c r="E516" s="23">
        <v>34818</v>
      </c>
      <c r="F516" s="46" t="s">
        <v>1874</v>
      </c>
      <c r="G516" s="23"/>
      <c r="H516" s="23"/>
      <c r="I516" s="41"/>
      <c r="J516" s="41">
        <v>727</v>
      </c>
      <c r="K516" s="20">
        <v>2015</v>
      </c>
      <c r="L516" s="21">
        <v>0.62759999999999994</v>
      </c>
      <c r="M516" s="110">
        <f>IF(L516="",I516,(MIN(J516,(L516*1.6*J516))))</f>
        <v>727</v>
      </c>
      <c r="N516" s="111">
        <f>IF(M516=0,0,(M516/J516))</f>
        <v>1</v>
      </c>
    </row>
    <row r="517" spans="2:14">
      <c r="B517" s="72">
        <v>127549</v>
      </c>
      <c r="C517" s="47" t="s">
        <v>1857</v>
      </c>
      <c r="D517" s="123">
        <f>SUMIF(B$3:B$3844,B517,M$3:M$3844)/(SUMIF(B$3:B$3844,B517,J$3:J$3844))</f>
        <v>0.45828027241016556</v>
      </c>
      <c r="E517" s="47">
        <v>35760</v>
      </c>
      <c r="F517" s="48" t="s">
        <v>1875</v>
      </c>
      <c r="G517" s="47"/>
      <c r="H517" s="47"/>
      <c r="I517" s="40">
        <v>533</v>
      </c>
      <c r="J517" s="40">
        <v>860</v>
      </c>
      <c r="K517" s="20"/>
      <c r="L517" s="21"/>
      <c r="M517" s="110">
        <f>IF(L517="",I517,(MIN(J517,(L517*1.6*J517))))</f>
        <v>533</v>
      </c>
      <c r="N517" s="111">
        <f>IF(M517=0,0,(M517/J517))</f>
        <v>0.61976744186046506</v>
      </c>
    </row>
    <row r="518" spans="2:14">
      <c r="B518" s="73">
        <v>127549</v>
      </c>
      <c r="C518" s="23" t="s">
        <v>1857</v>
      </c>
      <c r="D518" s="123">
        <f>SUMIF(B$3:B$3844,B518,M$3:M$3844)/(SUMIF(B$3:B$3844,B518,J$3:J$3844))</f>
        <v>0.45828027241016556</v>
      </c>
      <c r="E518" s="23">
        <v>35758</v>
      </c>
      <c r="F518" s="46" t="s">
        <v>1876</v>
      </c>
      <c r="G518" s="23"/>
      <c r="H518" s="23"/>
      <c r="I518" s="41">
        <v>598</v>
      </c>
      <c r="J518" s="41">
        <v>1192</v>
      </c>
      <c r="K518" s="20"/>
      <c r="L518" s="21"/>
      <c r="M518" s="110">
        <f>IF(L518="",I518,(MIN(J518,(L518*1.6*J518))))</f>
        <v>598</v>
      </c>
      <c r="N518" s="111">
        <f>IF(M518=0,0,(M518/J518))</f>
        <v>0.50167785234899331</v>
      </c>
    </row>
    <row r="519" spans="2:14">
      <c r="B519" s="72">
        <v>127549</v>
      </c>
      <c r="C519" s="47" t="s">
        <v>1857</v>
      </c>
      <c r="D519" s="123">
        <f>SUMIF(B$3:B$3844,B519,M$3:M$3844)/(SUMIF(B$3:B$3844,B519,J$3:J$3844))</f>
        <v>0.45828027241016556</v>
      </c>
      <c r="E519" s="47">
        <v>34772</v>
      </c>
      <c r="F519" s="48" t="s">
        <v>1877</v>
      </c>
      <c r="G519" s="47"/>
      <c r="H519" s="47"/>
      <c r="I519" s="40">
        <v>297</v>
      </c>
      <c r="J519" s="40">
        <v>829</v>
      </c>
      <c r="K519" s="20"/>
      <c r="L519" s="21"/>
      <c r="M519" s="110">
        <f>IF(L519="",I519,(MIN(J519,(L519*1.6*J519))))</f>
        <v>297</v>
      </c>
      <c r="N519" s="111">
        <f>IF(M519=0,0,(M519/J519))</f>
        <v>0.35826296743063935</v>
      </c>
    </row>
    <row r="520" spans="2:14">
      <c r="B520" s="73">
        <v>127549</v>
      </c>
      <c r="C520" s="23" t="s">
        <v>1857</v>
      </c>
      <c r="D520" s="123">
        <f>SUMIF(B$3:B$3844,B520,M$3:M$3844)/(SUMIF(B$3:B$3844,B520,J$3:J$3844))</f>
        <v>0.45828027241016556</v>
      </c>
      <c r="E520" s="23">
        <v>16025500</v>
      </c>
      <c r="F520" s="46" t="s">
        <v>1878</v>
      </c>
      <c r="G520" s="23"/>
      <c r="H520" s="23"/>
      <c r="I520" s="41">
        <v>417</v>
      </c>
      <c r="J520" s="41">
        <v>1089</v>
      </c>
      <c r="K520" s="20"/>
      <c r="L520" s="21"/>
      <c r="M520" s="110">
        <f>IF(L520="",I520,(MIN(J520,(L520*1.6*J520))))</f>
        <v>417</v>
      </c>
      <c r="N520" s="111">
        <f>IF(M520=0,0,(M520/J520))</f>
        <v>0.38292011019283745</v>
      </c>
    </row>
    <row r="521" spans="2:14">
      <c r="B521" s="72">
        <v>127549</v>
      </c>
      <c r="C521" s="47" t="s">
        <v>1857</v>
      </c>
      <c r="D521" s="123">
        <f>SUMIF(B$3:B$3844,B521,M$3:M$3844)/(SUMIF(B$3:B$3844,B521,J$3:J$3844))</f>
        <v>0.45828027241016556</v>
      </c>
      <c r="E521" s="47">
        <v>34837</v>
      </c>
      <c r="F521" s="48" t="s">
        <v>110</v>
      </c>
      <c r="G521" s="47"/>
      <c r="H521" s="47"/>
      <c r="I521" s="40">
        <v>442</v>
      </c>
      <c r="J521" s="40">
        <v>796</v>
      </c>
      <c r="K521" s="20"/>
      <c r="L521" s="21"/>
      <c r="M521" s="110">
        <f>IF(L521="",I521,(MIN(J521,(L521*1.6*J521))))</f>
        <v>442</v>
      </c>
      <c r="N521" s="111">
        <f>IF(M521=0,0,(M521/J521))</f>
        <v>0.55527638190954776</v>
      </c>
    </row>
    <row r="522" spans="2:14">
      <c r="B522" s="73">
        <v>127549</v>
      </c>
      <c r="C522" s="23" t="s">
        <v>1857</v>
      </c>
      <c r="D522" s="123">
        <f>SUMIF(B$3:B$3844,B522,M$3:M$3844)/(SUMIF(B$3:B$3844,B522,J$3:J$3844))</f>
        <v>0.45828027241016556</v>
      </c>
      <c r="E522" s="23">
        <v>34838</v>
      </c>
      <c r="F522" s="46" t="s">
        <v>1879</v>
      </c>
      <c r="G522" s="23"/>
      <c r="H522" s="23"/>
      <c r="I522" s="41">
        <v>296</v>
      </c>
      <c r="J522" s="41">
        <v>895</v>
      </c>
      <c r="K522" s="20"/>
      <c r="L522" s="21"/>
      <c r="M522" s="110">
        <f>IF(L522="",I522,(MIN(J522,(L522*1.6*J522))))</f>
        <v>296</v>
      </c>
      <c r="N522" s="111">
        <f>IF(M522=0,0,(M522/J522))</f>
        <v>0.33072625698324021</v>
      </c>
    </row>
    <row r="523" spans="2:14">
      <c r="B523" s="72">
        <v>127549</v>
      </c>
      <c r="C523" s="47" t="s">
        <v>1857</v>
      </c>
      <c r="D523" s="123">
        <f>SUMIF(B$3:B$3844,B523,M$3:M$3844)/(SUMIF(B$3:B$3844,B523,J$3:J$3844))</f>
        <v>0.45828027241016556</v>
      </c>
      <c r="E523" s="47">
        <v>198706</v>
      </c>
      <c r="F523" s="48" t="s">
        <v>1880</v>
      </c>
      <c r="G523" s="47"/>
      <c r="H523" s="47"/>
      <c r="I523" s="40">
        <v>341</v>
      </c>
      <c r="J523" s="40">
        <v>483</v>
      </c>
      <c r="K523" s="20"/>
      <c r="L523" s="21"/>
      <c r="M523" s="110">
        <f>IF(L523="",I523,(MIN(J523,(L523*1.6*J523))))</f>
        <v>341</v>
      </c>
      <c r="N523" s="111">
        <f>IF(M523=0,0,(M523/J523))</f>
        <v>0.70600414078674945</v>
      </c>
    </row>
    <row r="524" spans="2:14">
      <c r="B524" s="73">
        <v>127549</v>
      </c>
      <c r="C524" s="23" t="s">
        <v>1857</v>
      </c>
      <c r="D524" s="123">
        <f>SUMIF(B$3:B$3844,B524,M$3:M$3844)/(SUMIF(B$3:B$3844,B524,J$3:J$3844))</f>
        <v>0.45828027241016556</v>
      </c>
      <c r="E524" s="23">
        <v>34823</v>
      </c>
      <c r="F524" s="46" t="s">
        <v>1881</v>
      </c>
      <c r="G524" s="23"/>
      <c r="H524" s="23"/>
      <c r="I524" s="41">
        <v>407</v>
      </c>
      <c r="J524" s="41">
        <v>587</v>
      </c>
      <c r="K524" s="20"/>
      <c r="L524" s="21"/>
      <c r="M524" s="110">
        <f>IF(L524="",I524,(MIN(J524,(L524*1.6*J524))))</f>
        <v>407</v>
      </c>
      <c r="N524" s="111">
        <f>IF(M524=0,0,(M524/J524))</f>
        <v>0.69335604770017034</v>
      </c>
    </row>
    <row r="525" spans="2:14">
      <c r="B525" s="72">
        <v>127549</v>
      </c>
      <c r="C525" s="47" t="s">
        <v>1857</v>
      </c>
      <c r="D525" s="123">
        <f>SUMIF(B$3:B$3844,B525,M$3:M$3844)/(SUMIF(B$3:B$3844,B525,J$3:J$3844))</f>
        <v>0.45828027241016556</v>
      </c>
      <c r="E525" s="47">
        <v>34817</v>
      </c>
      <c r="F525" s="48" t="s">
        <v>1882</v>
      </c>
      <c r="G525" s="47"/>
      <c r="H525" s="47"/>
      <c r="I525" s="40">
        <v>791</v>
      </c>
      <c r="J525" s="40">
        <v>1716</v>
      </c>
      <c r="K525" s="20"/>
      <c r="L525" s="21"/>
      <c r="M525" s="110">
        <f>IF(L525="",I525,(MIN(J525,(L525*1.6*J525))))</f>
        <v>791</v>
      </c>
      <c r="N525" s="111">
        <f>IF(M525=0,0,(M525/J525))</f>
        <v>0.46095571095571097</v>
      </c>
    </row>
    <row r="526" spans="2:14">
      <c r="B526" s="73">
        <v>127549</v>
      </c>
      <c r="C526" s="23" t="s">
        <v>1857</v>
      </c>
      <c r="D526" s="123">
        <f>SUMIF(B$3:B$3844,B526,M$3:M$3844)/(SUMIF(B$3:B$3844,B526,J$3:J$3844))</f>
        <v>0.45828027241016556</v>
      </c>
      <c r="E526" s="23">
        <v>34839</v>
      </c>
      <c r="F526" s="46" t="s">
        <v>815</v>
      </c>
      <c r="G526" s="23"/>
      <c r="H526" s="23"/>
      <c r="I526" s="41">
        <v>293</v>
      </c>
      <c r="J526" s="41">
        <v>498</v>
      </c>
      <c r="K526" s="20"/>
      <c r="L526" s="21"/>
      <c r="M526" s="110">
        <f>IF(L526="",I526,(MIN(J526,(L526*1.6*J526))))</f>
        <v>293</v>
      </c>
      <c r="N526" s="111">
        <f>IF(M526=0,0,(M526/J526))</f>
        <v>0.58835341365461846</v>
      </c>
    </row>
    <row r="527" spans="2:14">
      <c r="B527" s="72">
        <v>127549</v>
      </c>
      <c r="C527" s="47" t="s">
        <v>1857</v>
      </c>
      <c r="D527" s="123">
        <f>SUMIF(B$3:B$3844,B527,M$3:M$3844)/(SUMIF(B$3:B$3844,B527,J$3:J$3844))</f>
        <v>0.45828027241016556</v>
      </c>
      <c r="E527" s="47">
        <v>16057206</v>
      </c>
      <c r="F527" s="48" t="s">
        <v>1883</v>
      </c>
      <c r="G527" s="47"/>
      <c r="H527" s="47"/>
      <c r="I527" s="40">
        <v>691</v>
      </c>
      <c r="J527" s="40">
        <v>2331</v>
      </c>
      <c r="K527" s="20"/>
      <c r="L527" s="21"/>
      <c r="M527" s="110">
        <f>IF(L527="",I527,(MIN(J527,(L527*1.6*J527))))</f>
        <v>691</v>
      </c>
      <c r="N527" s="111">
        <f>IF(M527=0,0,(M527/J527))</f>
        <v>0.29643929643929645</v>
      </c>
    </row>
    <row r="528" spans="2:14">
      <c r="B528" s="73">
        <v>127549</v>
      </c>
      <c r="C528" s="23" t="s">
        <v>1857</v>
      </c>
      <c r="D528" s="123">
        <f>SUMIF(B$3:B$3844,B528,M$3:M$3844)/(SUMIF(B$3:B$3844,B528,J$3:J$3844))</f>
        <v>0.45828027241016556</v>
      </c>
      <c r="E528" s="23">
        <v>16036286</v>
      </c>
      <c r="F528" s="46" t="s">
        <v>1884</v>
      </c>
      <c r="G528" s="23"/>
      <c r="H528" s="23"/>
      <c r="I528" s="41">
        <v>448</v>
      </c>
      <c r="J528" s="41">
        <v>1483</v>
      </c>
      <c r="K528" s="20"/>
      <c r="L528" s="21"/>
      <c r="M528" s="110">
        <f>IF(L528="",I528,(MIN(J528,(L528*1.6*J528))))</f>
        <v>448</v>
      </c>
      <c r="N528" s="111">
        <f>IF(M528=0,0,(M528/J528))</f>
        <v>0.30209035738368173</v>
      </c>
    </row>
    <row r="529" spans="2:14">
      <c r="B529" s="72">
        <v>127549</v>
      </c>
      <c r="C529" s="47" t="s">
        <v>1857</v>
      </c>
      <c r="D529" s="123">
        <f>SUMIF(B$3:B$3844,B529,M$3:M$3844)/(SUMIF(B$3:B$3844,B529,J$3:J$3844))</f>
        <v>0.45828027241016556</v>
      </c>
      <c r="E529" s="47">
        <v>16046351</v>
      </c>
      <c r="F529" s="48" t="s">
        <v>1885</v>
      </c>
      <c r="G529" s="47"/>
      <c r="H529" s="47"/>
      <c r="I529" s="40">
        <v>308</v>
      </c>
      <c r="J529" s="40">
        <v>909</v>
      </c>
      <c r="K529" s="20"/>
      <c r="L529" s="21"/>
      <c r="M529" s="110">
        <f>IF(L529="",I529,(MIN(J529,(L529*1.6*J529))))</f>
        <v>308</v>
      </c>
      <c r="N529" s="111">
        <f>IF(M529=0,0,(M529/J529))</f>
        <v>0.33883388338833881</v>
      </c>
    </row>
    <row r="530" spans="2:14">
      <c r="B530" s="73">
        <v>127549</v>
      </c>
      <c r="C530" s="23" t="s">
        <v>1857</v>
      </c>
      <c r="D530" s="123">
        <f>SUMIF(B$3:B$3844,B530,M$3:M$3844)/(SUMIF(B$3:B$3844,B530,J$3:J$3844))</f>
        <v>0.45828027241016556</v>
      </c>
      <c r="E530" s="23">
        <v>34828</v>
      </c>
      <c r="F530" s="46" t="s">
        <v>1886</v>
      </c>
      <c r="G530" s="23"/>
      <c r="H530" s="23"/>
      <c r="I530" s="41">
        <v>114</v>
      </c>
      <c r="J530" s="41">
        <v>481</v>
      </c>
      <c r="K530" s="20"/>
      <c r="L530" s="21"/>
      <c r="M530" s="110">
        <f>IF(L530="",I530,(MIN(J530,(L530*1.6*J530))))</f>
        <v>114</v>
      </c>
      <c r="N530" s="111">
        <f>IF(M530=0,0,(M530/J530))</f>
        <v>0.23700623700623702</v>
      </c>
    </row>
    <row r="531" spans="2:14">
      <c r="B531" s="72">
        <v>127549</v>
      </c>
      <c r="C531" s="47" t="s">
        <v>1857</v>
      </c>
      <c r="D531" s="123">
        <f>SUMIF(B$3:B$3844,B531,M$3:M$3844)/(SUMIF(B$3:B$3844,B531,J$3:J$3844))</f>
        <v>0.45828027241016556</v>
      </c>
      <c r="E531" s="47">
        <v>34833</v>
      </c>
      <c r="F531" s="48" t="s">
        <v>1887</v>
      </c>
      <c r="G531" s="47"/>
      <c r="H531" s="47"/>
      <c r="I531" s="40">
        <v>746</v>
      </c>
      <c r="J531" s="40">
        <v>1578</v>
      </c>
      <c r="K531" s="20"/>
      <c r="L531" s="21"/>
      <c r="M531" s="110">
        <f>IF(L531="",I531,(MIN(J531,(L531*1.6*J531))))</f>
        <v>746</v>
      </c>
      <c r="N531" s="111">
        <f>IF(M531=0,0,(M531/J531))</f>
        <v>0.47275031685678076</v>
      </c>
    </row>
    <row r="532" spans="2:14">
      <c r="B532" s="73">
        <v>127549</v>
      </c>
      <c r="C532" s="23" t="s">
        <v>1857</v>
      </c>
      <c r="D532" s="123">
        <f>SUMIF(B$3:B$3844,B532,M$3:M$3844)/(SUMIF(B$3:B$3844,B532,J$3:J$3844))</f>
        <v>0.45828027241016556</v>
      </c>
      <c r="E532" s="23">
        <v>34830</v>
      </c>
      <c r="F532" s="46" t="s">
        <v>1888</v>
      </c>
      <c r="G532" s="23"/>
      <c r="H532" s="23"/>
      <c r="I532" s="41">
        <v>373</v>
      </c>
      <c r="J532" s="41">
        <v>636</v>
      </c>
      <c r="K532" s="20"/>
      <c r="L532" s="21"/>
      <c r="M532" s="110">
        <f>IF(L532="",I532,(MIN(J532,(L532*1.6*J532))))</f>
        <v>373</v>
      </c>
      <c r="N532" s="111">
        <f>IF(M532=0,0,(M532/J532))</f>
        <v>0.58647798742138368</v>
      </c>
    </row>
    <row r="533" spans="2:14" ht="30">
      <c r="B533" s="72">
        <v>127549</v>
      </c>
      <c r="C533" s="47" t="s">
        <v>1857</v>
      </c>
      <c r="D533" s="123">
        <f>SUMIF(B$3:B$3844,B533,M$3:M$3844)/(SUMIF(B$3:B$3844,B533,J$3:J$3844))</f>
        <v>0.45828027241016556</v>
      </c>
      <c r="E533" s="47">
        <v>34831</v>
      </c>
      <c r="F533" s="48" t="s">
        <v>1889</v>
      </c>
      <c r="G533" s="47"/>
      <c r="H533" s="47"/>
      <c r="I533" s="40">
        <v>19</v>
      </c>
      <c r="J533" s="40">
        <v>238</v>
      </c>
      <c r="K533" s="20"/>
      <c r="L533" s="21"/>
      <c r="M533" s="110">
        <f>IF(L533="",I533,(MIN(J533,(L533*1.6*J533))))</f>
        <v>19</v>
      </c>
      <c r="N533" s="111">
        <f>IF(M533=0,0,(M533/J533))</f>
        <v>7.9831932773109238E-2</v>
      </c>
    </row>
    <row r="534" spans="2:14">
      <c r="B534" s="73">
        <v>127549</v>
      </c>
      <c r="C534" s="23" t="s">
        <v>1857</v>
      </c>
      <c r="D534" s="123">
        <f>SUMIF(B$3:B$3844,B534,M$3:M$3844)/(SUMIF(B$3:B$3844,B534,J$3:J$3844))</f>
        <v>0.45828027241016556</v>
      </c>
      <c r="E534" s="23">
        <v>16051345</v>
      </c>
      <c r="F534" s="46" t="s">
        <v>1890</v>
      </c>
      <c r="G534" s="23"/>
      <c r="H534" s="23"/>
      <c r="I534" s="41">
        <v>369</v>
      </c>
      <c r="J534" s="41">
        <v>1254</v>
      </c>
      <c r="K534" s="20"/>
      <c r="L534" s="21"/>
      <c r="M534" s="110">
        <f>IF(L534="",I534,(MIN(J534,(L534*1.6*J534))))</f>
        <v>369</v>
      </c>
      <c r="N534" s="111">
        <f>IF(M534=0,0,(M534/J534))</f>
        <v>0.29425837320574161</v>
      </c>
    </row>
    <row r="535" spans="2:14">
      <c r="B535" s="72">
        <v>127549</v>
      </c>
      <c r="C535" s="47" t="s">
        <v>1857</v>
      </c>
      <c r="D535" s="123">
        <f>SUMIF(B$3:B$3844,B535,M$3:M$3844)/(SUMIF(B$3:B$3844,B535,J$3:J$3844))</f>
        <v>0.45828027241016556</v>
      </c>
      <c r="E535" s="47">
        <v>34769</v>
      </c>
      <c r="F535" s="48" t="s">
        <v>1891</v>
      </c>
      <c r="G535" s="47"/>
      <c r="H535" s="47"/>
      <c r="I535" s="40">
        <v>117</v>
      </c>
      <c r="J535" s="40">
        <v>150</v>
      </c>
      <c r="K535" s="20"/>
      <c r="L535" s="21"/>
      <c r="M535" s="110">
        <f>IF(L535="",I535,(MIN(J535,(L535*1.6*J535))))</f>
        <v>117</v>
      </c>
      <c r="N535" s="111">
        <f>IF(M535=0,0,(M535/J535))</f>
        <v>0.78</v>
      </c>
    </row>
    <row r="536" spans="2:14">
      <c r="B536" s="73">
        <v>127549</v>
      </c>
      <c r="C536" s="23" t="s">
        <v>1857</v>
      </c>
      <c r="D536" s="123">
        <f>SUMIF(B$3:B$3844,B536,M$3:M$3844)/(SUMIF(B$3:B$3844,B536,J$3:J$3844))</f>
        <v>0.45828027241016556</v>
      </c>
      <c r="E536" s="23">
        <v>224886</v>
      </c>
      <c r="F536" s="46" t="s">
        <v>1892</v>
      </c>
      <c r="G536" s="23"/>
      <c r="H536" s="23"/>
      <c r="I536" s="41">
        <v>208</v>
      </c>
      <c r="J536" s="41">
        <v>460</v>
      </c>
      <c r="K536" s="20"/>
      <c r="L536" s="21"/>
      <c r="M536" s="110">
        <f>IF(L536="",I536,(MIN(J536,(L536*1.6*J536))))</f>
        <v>208</v>
      </c>
      <c r="N536" s="111">
        <f>IF(M536=0,0,(M536/J536))</f>
        <v>0.45217391304347826</v>
      </c>
    </row>
    <row r="537" spans="2:14">
      <c r="B537" s="72">
        <v>127549</v>
      </c>
      <c r="C537" s="47" t="s">
        <v>1857</v>
      </c>
      <c r="D537" s="123">
        <f>SUMIF(B$3:B$3844,B537,M$3:M$3844)/(SUMIF(B$3:B$3844,B537,J$3:J$3844))</f>
        <v>0.45828027241016556</v>
      </c>
      <c r="E537" s="47">
        <v>34809</v>
      </c>
      <c r="F537" s="48" t="s">
        <v>1893</v>
      </c>
      <c r="G537" s="47"/>
      <c r="H537" s="47"/>
      <c r="I537" s="40">
        <v>357</v>
      </c>
      <c r="J537" s="40">
        <v>561</v>
      </c>
      <c r="K537" s="20"/>
      <c r="L537" s="21"/>
      <c r="M537" s="110">
        <f>IF(L537="",I537,(MIN(J537,(L537*1.6*J537))))</f>
        <v>357</v>
      </c>
      <c r="N537" s="111">
        <f>IF(M537=0,0,(M537/J537))</f>
        <v>0.63636363636363635</v>
      </c>
    </row>
    <row r="538" spans="2:14">
      <c r="B538" s="73">
        <v>127549</v>
      </c>
      <c r="C538" s="23" t="s">
        <v>1857</v>
      </c>
      <c r="D538" s="123">
        <f>SUMIF(B$3:B$3844,B538,M$3:M$3844)/(SUMIF(B$3:B$3844,B538,J$3:J$3844))</f>
        <v>0.45828027241016556</v>
      </c>
      <c r="E538" s="23">
        <v>34810</v>
      </c>
      <c r="F538" s="46" t="s">
        <v>1894</v>
      </c>
      <c r="G538" s="23"/>
      <c r="H538" s="23"/>
      <c r="I538" s="41">
        <v>640</v>
      </c>
      <c r="J538" s="41">
        <v>1629</v>
      </c>
      <c r="K538" s="20"/>
      <c r="L538" s="21"/>
      <c r="M538" s="110">
        <f>IF(L538="",I538,(MIN(J538,(L538*1.6*J538))))</f>
        <v>640</v>
      </c>
      <c r="N538" s="111">
        <f>IF(M538=0,0,(M538/J538))</f>
        <v>0.39287906691221608</v>
      </c>
    </row>
    <row r="539" spans="2:14">
      <c r="B539" s="72">
        <v>127549</v>
      </c>
      <c r="C539" s="47" t="s">
        <v>1857</v>
      </c>
      <c r="D539" s="123">
        <f>SUMIF(B$3:B$3844,B539,M$3:M$3844)/(SUMIF(B$3:B$3844,B539,J$3:J$3844))</f>
        <v>0.45828027241016556</v>
      </c>
      <c r="E539" s="47">
        <v>34844</v>
      </c>
      <c r="F539" s="48" t="s">
        <v>1895</v>
      </c>
      <c r="G539" s="47"/>
      <c r="H539" s="47"/>
      <c r="I539" s="40">
        <v>317</v>
      </c>
      <c r="J539" s="40">
        <v>933</v>
      </c>
      <c r="K539" s="20"/>
      <c r="L539" s="21"/>
      <c r="M539" s="110">
        <f>IF(L539="",I539,(MIN(J539,(L539*1.6*J539))))</f>
        <v>317</v>
      </c>
      <c r="N539" s="111">
        <f>IF(M539=0,0,(M539/J539))</f>
        <v>0.33976420150053588</v>
      </c>
    </row>
    <row r="540" spans="2:14">
      <c r="B540" s="73">
        <v>127549</v>
      </c>
      <c r="C540" s="23" t="s">
        <v>1857</v>
      </c>
      <c r="D540" s="123">
        <f>SUMIF(B$3:B$3844,B540,M$3:M$3844)/(SUMIF(B$3:B$3844,B540,J$3:J$3844))</f>
        <v>0.45828027241016556</v>
      </c>
      <c r="E540" s="23">
        <v>34826</v>
      </c>
      <c r="F540" s="46" t="s">
        <v>1896</v>
      </c>
      <c r="G540" s="23"/>
      <c r="H540" s="23"/>
      <c r="I540" s="41"/>
      <c r="J540" s="41">
        <v>487</v>
      </c>
      <c r="K540" s="20">
        <v>2015</v>
      </c>
      <c r="L540" s="21">
        <v>0.62759999999999994</v>
      </c>
      <c r="M540" s="110">
        <f>IF(L540="",I540,(MIN(J540,(L540*1.6*J540))))</f>
        <v>487</v>
      </c>
      <c r="N540" s="111">
        <f>IF(M540=0,0,(M540/J540))</f>
        <v>1</v>
      </c>
    </row>
    <row r="541" spans="2:14">
      <c r="B541" s="72">
        <v>127549</v>
      </c>
      <c r="C541" s="47" t="s">
        <v>1857</v>
      </c>
      <c r="D541" s="123">
        <f>SUMIF(B$3:B$3844,B541,M$3:M$3844)/(SUMIF(B$3:B$3844,B541,J$3:J$3844))</f>
        <v>0.45828027241016556</v>
      </c>
      <c r="E541" s="47">
        <v>16046353</v>
      </c>
      <c r="F541" s="48" t="s">
        <v>445</v>
      </c>
      <c r="G541" s="47"/>
      <c r="H541" s="47"/>
      <c r="I541" s="40">
        <v>306</v>
      </c>
      <c r="J541" s="40">
        <v>705</v>
      </c>
      <c r="K541" s="20"/>
      <c r="L541" s="21"/>
      <c r="M541" s="110">
        <f>IF(L541="",I541,(MIN(J541,(L541*1.6*J541))))</f>
        <v>306</v>
      </c>
      <c r="N541" s="111">
        <f>IF(M541=0,0,(M541/J541))</f>
        <v>0.43404255319148938</v>
      </c>
    </row>
    <row r="542" spans="2:14">
      <c r="B542" s="73">
        <v>127549</v>
      </c>
      <c r="C542" s="23" t="s">
        <v>1857</v>
      </c>
      <c r="D542" s="123">
        <f>SUMIF(B$3:B$3844,B542,M$3:M$3844)/(SUMIF(B$3:B$3844,B542,J$3:J$3844))</f>
        <v>0.45828027241016556</v>
      </c>
      <c r="E542" s="23">
        <v>15093712</v>
      </c>
      <c r="F542" s="46" t="s">
        <v>1897</v>
      </c>
      <c r="G542" s="23"/>
      <c r="H542" s="23"/>
      <c r="I542" s="41">
        <v>215</v>
      </c>
      <c r="J542" s="41">
        <v>378</v>
      </c>
      <c r="K542" s="20"/>
      <c r="L542" s="21"/>
      <c r="M542" s="110">
        <f>IF(L542="",I542,(MIN(J542,(L542*1.6*J542))))</f>
        <v>215</v>
      </c>
      <c r="N542" s="111">
        <f>IF(M542=0,0,(M542/J542))</f>
        <v>0.56878306878306883</v>
      </c>
    </row>
    <row r="543" spans="2:14">
      <c r="B543" s="72">
        <v>127549</v>
      </c>
      <c r="C543" s="47" t="s">
        <v>1857</v>
      </c>
      <c r="D543" s="123">
        <f>SUMIF(B$3:B$3844,B543,M$3:M$3844)/(SUMIF(B$3:B$3844,B543,J$3:J$3844))</f>
        <v>0.45828027241016556</v>
      </c>
      <c r="E543" s="47">
        <v>224885</v>
      </c>
      <c r="F543" s="48" t="s">
        <v>1898</v>
      </c>
      <c r="G543" s="47"/>
      <c r="H543" s="47"/>
      <c r="I543" s="40">
        <v>255</v>
      </c>
      <c r="J543" s="40">
        <v>974</v>
      </c>
      <c r="K543" s="20"/>
      <c r="L543" s="21"/>
      <c r="M543" s="110">
        <f>IF(L543="",I543,(MIN(J543,(L543*1.6*J543))))</f>
        <v>255</v>
      </c>
      <c r="N543" s="111">
        <f>IF(M543=0,0,(M543/J543))</f>
        <v>0.26180698151950721</v>
      </c>
    </row>
    <row r="544" spans="2:14">
      <c r="B544" s="73">
        <v>127549</v>
      </c>
      <c r="C544" s="23" t="s">
        <v>1857</v>
      </c>
      <c r="D544" s="123">
        <f>SUMIF(B$3:B$3844,B544,M$3:M$3844)/(SUMIF(B$3:B$3844,B544,J$3:J$3844))</f>
        <v>0.45828027241016556</v>
      </c>
      <c r="E544" s="23">
        <v>34821</v>
      </c>
      <c r="F544" s="46" t="s">
        <v>1899</v>
      </c>
      <c r="G544" s="23"/>
      <c r="H544" s="23"/>
      <c r="I544" s="41">
        <v>408</v>
      </c>
      <c r="J544" s="41">
        <v>869</v>
      </c>
      <c r="K544" s="20"/>
      <c r="L544" s="21"/>
      <c r="M544" s="110">
        <f>IF(L544="",I544,(MIN(J544,(L544*1.6*J544))))</f>
        <v>408</v>
      </c>
      <c r="N544" s="111">
        <f>IF(M544=0,0,(M544/J544))</f>
        <v>0.46950517836593786</v>
      </c>
    </row>
    <row r="545" spans="2:14">
      <c r="B545" s="72">
        <v>127549</v>
      </c>
      <c r="C545" s="47" t="s">
        <v>1857</v>
      </c>
      <c r="D545" s="123">
        <f>SUMIF(B$3:B$3844,B545,M$3:M$3844)/(SUMIF(B$3:B$3844,B545,J$3:J$3844))</f>
        <v>0.45828027241016556</v>
      </c>
      <c r="E545" s="47">
        <v>34827</v>
      </c>
      <c r="F545" s="48" t="s">
        <v>1900</v>
      </c>
      <c r="G545" s="47"/>
      <c r="H545" s="47"/>
      <c r="I545" s="40"/>
      <c r="J545" s="40">
        <v>625</v>
      </c>
      <c r="K545" s="20">
        <v>2015</v>
      </c>
      <c r="L545" s="21">
        <v>0.62759999999999994</v>
      </c>
      <c r="M545" s="110">
        <f>IF(L545="",I545,(MIN(J545,(L545*1.6*J545))))</f>
        <v>625</v>
      </c>
      <c r="N545" s="111">
        <f>IF(M545=0,0,(M545/J545))</f>
        <v>1</v>
      </c>
    </row>
    <row r="546" spans="2:14">
      <c r="B546" s="73">
        <v>127549</v>
      </c>
      <c r="C546" s="23" t="s">
        <v>1857</v>
      </c>
      <c r="D546" s="123">
        <f>SUMIF(B$3:B$3844,B546,M$3:M$3844)/(SUMIF(B$3:B$3844,B546,J$3:J$3844))</f>
        <v>0.45828027241016556</v>
      </c>
      <c r="E546" s="23">
        <v>34820</v>
      </c>
      <c r="F546" s="46" t="s">
        <v>1901</v>
      </c>
      <c r="G546" s="23"/>
      <c r="H546" s="23"/>
      <c r="I546" s="41">
        <v>438</v>
      </c>
      <c r="J546" s="41">
        <v>741</v>
      </c>
      <c r="K546" s="20"/>
      <c r="L546" s="21"/>
      <c r="M546" s="110">
        <f>IF(L546="",I546,(MIN(J546,(L546*1.6*J546))))</f>
        <v>438</v>
      </c>
      <c r="N546" s="111">
        <f>IF(M546=0,0,(M546/J546))</f>
        <v>0.59109311740890691</v>
      </c>
    </row>
    <row r="547" spans="2:14">
      <c r="B547" s="73">
        <v>127844</v>
      </c>
      <c r="C547" s="23" t="s">
        <v>1902</v>
      </c>
      <c r="D547" s="123">
        <f>SUMIF(B$3:B$3844,B547,M$3:M$3844)/(SUMIF(B$3:B$3844,B547,J$3:J$3844))</f>
        <v>0.6301097610551516</v>
      </c>
      <c r="E547" s="23">
        <v>38356</v>
      </c>
      <c r="F547" s="46" t="s">
        <v>1903</v>
      </c>
      <c r="G547" s="23"/>
      <c r="H547" s="23"/>
      <c r="I547" s="41">
        <v>521</v>
      </c>
      <c r="J547" s="41">
        <v>555</v>
      </c>
      <c r="K547" s="118"/>
      <c r="L547" s="119"/>
      <c r="M547" s="110">
        <f>IF(L547="",I547,(MIN(J547,(L547*1.6*J547))))</f>
        <v>521</v>
      </c>
      <c r="N547" s="111">
        <f>IF(M547=0,0,(M547/J547))</f>
        <v>0.9387387387387387</v>
      </c>
    </row>
    <row r="548" spans="2:14">
      <c r="B548" s="72">
        <v>127844</v>
      </c>
      <c r="C548" s="47" t="s">
        <v>1902</v>
      </c>
      <c r="D548" s="123">
        <f>SUMIF(B$3:B$3844,B548,M$3:M$3844)/(SUMIF(B$3:B$3844,B548,J$3:J$3844))</f>
        <v>0.6301097610551516</v>
      </c>
      <c r="E548" s="47">
        <v>38353</v>
      </c>
      <c r="F548" s="48" t="s">
        <v>1904</v>
      </c>
      <c r="G548" s="47"/>
      <c r="H548" s="47"/>
      <c r="I548" s="40">
        <v>506</v>
      </c>
      <c r="J548" s="40">
        <v>1699</v>
      </c>
      <c r="K548" s="118"/>
      <c r="L548" s="119"/>
      <c r="M548" s="110">
        <f>IF(L548="",I548,(MIN(J548,(L548*1.6*J548))))</f>
        <v>506</v>
      </c>
      <c r="N548" s="111">
        <f>IF(M548=0,0,(M548/J548))</f>
        <v>0.29782224838140081</v>
      </c>
    </row>
    <row r="549" spans="2:14">
      <c r="B549" s="73">
        <v>127844</v>
      </c>
      <c r="C549" s="23" t="s">
        <v>1902</v>
      </c>
      <c r="D549" s="123">
        <f>SUMIF(B$3:B$3844,B549,M$3:M$3844)/(SUMIF(B$3:B$3844,B549,J$3:J$3844))</f>
        <v>0.6301097610551516</v>
      </c>
      <c r="E549" s="23">
        <v>16068318</v>
      </c>
      <c r="F549" s="46" t="s">
        <v>1905</v>
      </c>
      <c r="G549" s="23"/>
      <c r="H549" s="23"/>
      <c r="I549" s="41">
        <v>287</v>
      </c>
      <c r="J549" s="41">
        <v>383</v>
      </c>
      <c r="K549" s="118"/>
      <c r="L549" s="119"/>
      <c r="M549" s="110">
        <f>IF(L549="",I549,(MIN(J549,(L549*1.6*J549))))</f>
        <v>287</v>
      </c>
      <c r="N549" s="111">
        <f>IF(M549=0,0,(M549/J549))</f>
        <v>0.74934725848563966</v>
      </c>
    </row>
    <row r="550" spans="2:14">
      <c r="B550" s="72">
        <v>127844</v>
      </c>
      <c r="C550" s="47" t="s">
        <v>1902</v>
      </c>
      <c r="D550" s="123">
        <f>SUMIF(B$3:B$3844,B550,M$3:M$3844)/(SUMIF(B$3:B$3844,B550,J$3:J$3844))</f>
        <v>0.6301097610551516</v>
      </c>
      <c r="E550" s="47">
        <v>38374</v>
      </c>
      <c r="F550" s="48" t="s">
        <v>1906</v>
      </c>
      <c r="G550" s="47"/>
      <c r="H550" s="47"/>
      <c r="I550" s="40">
        <v>493</v>
      </c>
      <c r="J550" s="40">
        <v>851</v>
      </c>
      <c r="K550" s="118"/>
      <c r="L550" s="119"/>
      <c r="M550" s="110">
        <f>IF(L550="",I550,(MIN(J550,(L550*1.6*J550))))</f>
        <v>493</v>
      </c>
      <c r="N550" s="111">
        <f>IF(M550=0,0,(M550/J550))</f>
        <v>0.57931844888366624</v>
      </c>
    </row>
    <row r="551" spans="2:14">
      <c r="B551" s="73">
        <v>127844</v>
      </c>
      <c r="C551" s="23" t="s">
        <v>1902</v>
      </c>
      <c r="D551" s="123">
        <f>SUMIF(B$3:B$3844,B551,M$3:M$3844)/(SUMIF(B$3:B$3844,B551,J$3:J$3844))</f>
        <v>0.6301097610551516</v>
      </c>
      <c r="E551" s="23">
        <v>228990</v>
      </c>
      <c r="F551" s="46" t="s">
        <v>1907</v>
      </c>
      <c r="G551" s="23"/>
      <c r="H551" s="23"/>
      <c r="I551" s="41">
        <v>577</v>
      </c>
      <c r="J551" s="41">
        <v>843</v>
      </c>
      <c r="K551" s="118"/>
      <c r="L551" s="119"/>
      <c r="M551" s="110">
        <f>IF(L551="",I551,(MIN(J551,(L551*1.6*J551))))</f>
        <v>577</v>
      </c>
      <c r="N551" s="111">
        <f>IF(M551=0,0,(M551/J551))</f>
        <v>0.68446026097271651</v>
      </c>
    </row>
    <row r="552" spans="2:14">
      <c r="B552" s="72">
        <v>127844</v>
      </c>
      <c r="C552" s="47" t="s">
        <v>1902</v>
      </c>
      <c r="D552" s="123">
        <f>SUMIF(B$3:B$3844,B552,M$3:M$3844)/(SUMIF(B$3:B$3844,B552,J$3:J$3844))</f>
        <v>0.6301097610551516</v>
      </c>
      <c r="E552" s="47">
        <v>38373</v>
      </c>
      <c r="F552" s="48" t="s">
        <v>1908</v>
      </c>
      <c r="G552" s="47"/>
      <c r="H552" s="47"/>
      <c r="I552" s="40">
        <v>277</v>
      </c>
      <c r="J552" s="40">
        <v>643</v>
      </c>
      <c r="K552" s="118"/>
      <c r="L552" s="119"/>
      <c r="M552" s="110">
        <f>IF(L552="",I552,(MIN(J552,(L552*1.6*J552))))</f>
        <v>277</v>
      </c>
      <c r="N552" s="111">
        <f>IF(M552=0,0,(M552/J552))</f>
        <v>0.4307931570762053</v>
      </c>
    </row>
    <row r="553" spans="2:14">
      <c r="B553" s="73">
        <v>127844</v>
      </c>
      <c r="C553" s="23" t="s">
        <v>1902</v>
      </c>
      <c r="D553" s="123">
        <f>SUMIF(B$3:B$3844,B553,M$3:M$3844)/(SUMIF(B$3:B$3844,B553,J$3:J$3844))</f>
        <v>0.6301097610551516</v>
      </c>
      <c r="E553" s="23">
        <v>228284</v>
      </c>
      <c r="F553" s="46" t="s">
        <v>1909</v>
      </c>
      <c r="G553" s="23"/>
      <c r="H553" s="23"/>
      <c r="I553" s="41">
        <v>375</v>
      </c>
      <c r="J553" s="41">
        <v>731</v>
      </c>
      <c r="K553" s="118"/>
      <c r="L553" s="119"/>
      <c r="M553" s="110">
        <f>IF(L553="",I553,(MIN(J553,(L553*1.6*J553))))</f>
        <v>375</v>
      </c>
      <c r="N553" s="111">
        <f>IF(M553=0,0,(M553/J553))</f>
        <v>0.51299589603283169</v>
      </c>
    </row>
    <row r="554" spans="2:14">
      <c r="B554" s="72">
        <v>127844</v>
      </c>
      <c r="C554" s="47" t="s">
        <v>1902</v>
      </c>
      <c r="D554" s="123">
        <f>SUMIF(B$3:B$3844,B554,M$3:M$3844)/(SUMIF(B$3:B$3844,B554,J$3:J$3844))</f>
        <v>0.6301097610551516</v>
      </c>
      <c r="E554" s="47">
        <v>16049340</v>
      </c>
      <c r="F554" s="48" t="s">
        <v>1910</v>
      </c>
      <c r="G554" s="47"/>
      <c r="H554" s="47"/>
      <c r="I554" s="40">
        <v>483</v>
      </c>
      <c r="J554" s="40">
        <v>747</v>
      </c>
      <c r="K554" s="118"/>
      <c r="L554" s="119"/>
      <c r="M554" s="110">
        <f>IF(L554="",I554,(MIN(J554,(L554*1.6*J554))))</f>
        <v>483</v>
      </c>
      <c r="N554" s="111">
        <f>IF(M554=0,0,(M554/J554))</f>
        <v>0.64658634538152615</v>
      </c>
    </row>
    <row r="555" spans="2:14">
      <c r="B555" s="73">
        <v>127844</v>
      </c>
      <c r="C555" s="23" t="s">
        <v>1902</v>
      </c>
      <c r="D555" s="123">
        <f>SUMIF(B$3:B$3844,B555,M$3:M$3844)/(SUMIF(B$3:B$3844,B555,J$3:J$3844))</f>
        <v>0.6301097610551516</v>
      </c>
      <c r="E555" s="23">
        <v>38346</v>
      </c>
      <c r="F555" s="46" t="s">
        <v>1911</v>
      </c>
      <c r="G555" s="23"/>
      <c r="H555" s="23"/>
      <c r="I555" s="41">
        <v>846</v>
      </c>
      <c r="J555" s="41">
        <v>1103</v>
      </c>
      <c r="K555" s="118"/>
      <c r="L555" s="119"/>
      <c r="M555" s="110">
        <f>IF(L555="",I555,(MIN(J555,(L555*1.6*J555))))</f>
        <v>846</v>
      </c>
      <c r="N555" s="111">
        <f>IF(M555=0,0,(M555/J555))</f>
        <v>0.76699909338168626</v>
      </c>
    </row>
    <row r="556" spans="2:14">
      <c r="B556" s="72">
        <v>127844</v>
      </c>
      <c r="C556" s="47" t="s">
        <v>1902</v>
      </c>
      <c r="D556" s="123">
        <f>SUMIF(B$3:B$3844,B556,M$3:M$3844)/(SUMIF(B$3:B$3844,B556,J$3:J$3844))</f>
        <v>0.6301097610551516</v>
      </c>
      <c r="E556" s="47">
        <v>16049336</v>
      </c>
      <c r="F556" s="48" t="s">
        <v>1912</v>
      </c>
      <c r="G556" s="47"/>
      <c r="H556" s="47"/>
      <c r="I556" s="40">
        <v>716</v>
      </c>
      <c r="J556" s="40">
        <v>720</v>
      </c>
      <c r="K556" s="118"/>
      <c r="L556" s="119"/>
      <c r="M556" s="110">
        <f>IF(L556="",I556,(MIN(J556,(L556*1.6*J556))))</f>
        <v>716</v>
      </c>
      <c r="N556" s="111">
        <f>IF(M556=0,0,(M556/J556))</f>
        <v>0.99444444444444446</v>
      </c>
    </row>
    <row r="557" spans="2:14">
      <c r="B557" s="73">
        <v>127844</v>
      </c>
      <c r="C557" s="23" t="s">
        <v>1902</v>
      </c>
      <c r="D557" s="123">
        <f>SUMIF(B$3:B$3844,B557,M$3:M$3844)/(SUMIF(B$3:B$3844,B557,J$3:J$3844))</f>
        <v>0.6301097610551516</v>
      </c>
      <c r="E557" s="23">
        <v>16027057</v>
      </c>
      <c r="F557" s="46" t="s">
        <v>1913</v>
      </c>
      <c r="G557" s="23"/>
      <c r="H557" s="23"/>
      <c r="I557" s="41">
        <v>386</v>
      </c>
      <c r="J557" s="41">
        <v>550</v>
      </c>
      <c r="K557" s="118"/>
      <c r="L557" s="119"/>
      <c r="M557" s="110">
        <f>IF(L557="",I557,(MIN(J557,(L557*1.6*J557))))</f>
        <v>386</v>
      </c>
      <c r="N557" s="111">
        <f>IF(M557=0,0,(M557/J557))</f>
        <v>0.70181818181818179</v>
      </c>
    </row>
    <row r="558" spans="2:14">
      <c r="B558" s="72">
        <v>127844</v>
      </c>
      <c r="C558" s="47" t="s">
        <v>1902</v>
      </c>
      <c r="D558" s="123">
        <f>SUMIF(B$3:B$3844,B558,M$3:M$3844)/(SUMIF(B$3:B$3844,B558,J$3:J$3844))</f>
        <v>0.6301097610551516</v>
      </c>
      <c r="E558" s="47">
        <v>38379</v>
      </c>
      <c r="F558" s="48" t="s">
        <v>1914</v>
      </c>
      <c r="G558" s="47"/>
      <c r="H558" s="47"/>
      <c r="I558" s="40">
        <v>130</v>
      </c>
      <c r="J558" s="40">
        <v>206</v>
      </c>
      <c r="K558" s="118"/>
      <c r="L558" s="119"/>
      <c r="M558" s="110">
        <f>IF(L558="",I558,(MIN(J558,(L558*1.6*J558))))</f>
        <v>130</v>
      </c>
      <c r="N558" s="111">
        <f>IF(M558=0,0,(M558/J558))</f>
        <v>0.6310679611650486</v>
      </c>
    </row>
    <row r="559" spans="2:14">
      <c r="B559" s="73">
        <v>127844</v>
      </c>
      <c r="C559" s="23" t="s">
        <v>1902</v>
      </c>
      <c r="D559" s="123">
        <f>SUMIF(B$3:B$3844,B559,M$3:M$3844)/(SUMIF(B$3:B$3844,B559,J$3:J$3844))</f>
        <v>0.6301097610551516</v>
      </c>
      <c r="E559" s="23">
        <v>38363</v>
      </c>
      <c r="F559" s="46" t="s">
        <v>1915</v>
      </c>
      <c r="G559" s="23"/>
      <c r="H559" s="23"/>
      <c r="I559" s="41">
        <v>918</v>
      </c>
      <c r="J559" s="41">
        <v>961</v>
      </c>
      <c r="K559" s="118"/>
      <c r="L559" s="119"/>
      <c r="M559" s="110">
        <f>IF(L559="",I559,(MIN(J559,(L559*1.6*J559))))</f>
        <v>918</v>
      </c>
      <c r="N559" s="111">
        <f>IF(M559=0,0,(M559/J559))</f>
        <v>0.95525494276795009</v>
      </c>
    </row>
    <row r="560" spans="2:14">
      <c r="B560" s="72">
        <v>127844</v>
      </c>
      <c r="C560" s="47" t="s">
        <v>1902</v>
      </c>
      <c r="D560" s="123">
        <f>SUMIF(B$3:B$3844,B560,M$3:M$3844)/(SUMIF(B$3:B$3844,B560,J$3:J$3844))</f>
        <v>0.6301097610551516</v>
      </c>
      <c r="E560" s="47">
        <v>16027056</v>
      </c>
      <c r="F560" s="48" t="s">
        <v>1916</v>
      </c>
      <c r="G560" s="47"/>
      <c r="H560" s="47"/>
      <c r="I560" s="40">
        <v>1240</v>
      </c>
      <c r="J560" s="40">
        <v>1649</v>
      </c>
      <c r="K560" s="118"/>
      <c r="L560" s="119"/>
      <c r="M560" s="110">
        <f>IF(L560="",I560,(MIN(J560,(L560*1.6*J560))))</f>
        <v>1240</v>
      </c>
      <c r="N560" s="111">
        <f>IF(M560=0,0,(M560/J560))</f>
        <v>0.75197089144936324</v>
      </c>
    </row>
    <row r="561" spans="2:14">
      <c r="B561" s="73">
        <v>127844</v>
      </c>
      <c r="C561" s="23" t="s">
        <v>1902</v>
      </c>
      <c r="D561" s="123">
        <f>SUMIF(B$3:B$3844,B561,M$3:M$3844)/(SUMIF(B$3:B$3844,B561,J$3:J$3844))</f>
        <v>0.6301097610551516</v>
      </c>
      <c r="E561" s="23">
        <v>38367</v>
      </c>
      <c r="F561" s="46" t="s">
        <v>1917</v>
      </c>
      <c r="G561" s="23"/>
      <c r="H561" s="23"/>
      <c r="I561" s="41">
        <v>1002</v>
      </c>
      <c r="J561" s="41">
        <v>1094</v>
      </c>
      <c r="K561" s="118"/>
      <c r="L561" s="119"/>
      <c r="M561" s="110">
        <f>IF(L561="",I561,(MIN(J561,(L561*1.6*J561))))</f>
        <v>1002</v>
      </c>
      <c r="N561" s="111">
        <f>IF(M561=0,0,(M561/J561))</f>
        <v>0.91590493601462519</v>
      </c>
    </row>
    <row r="562" spans="2:14">
      <c r="B562" s="72">
        <v>127844</v>
      </c>
      <c r="C562" s="47" t="s">
        <v>1902</v>
      </c>
      <c r="D562" s="123">
        <f>SUMIF(B$3:B$3844,B562,M$3:M$3844)/(SUMIF(B$3:B$3844,B562,J$3:J$3844))</f>
        <v>0.6301097610551516</v>
      </c>
      <c r="E562" s="47">
        <v>38368</v>
      </c>
      <c r="F562" s="48" t="s">
        <v>1918</v>
      </c>
      <c r="G562" s="47"/>
      <c r="H562" s="47"/>
      <c r="I562" s="40">
        <v>960</v>
      </c>
      <c r="J562" s="40">
        <v>1051</v>
      </c>
      <c r="K562" s="118"/>
      <c r="L562" s="119"/>
      <c r="M562" s="110">
        <f>IF(L562="",I562,(MIN(J562,(L562*1.6*J562))))</f>
        <v>960</v>
      </c>
      <c r="N562" s="111">
        <f>IF(M562=0,0,(M562/J562))</f>
        <v>0.91341579448144627</v>
      </c>
    </row>
    <row r="563" spans="2:14">
      <c r="B563" s="73">
        <v>127844</v>
      </c>
      <c r="C563" s="23" t="s">
        <v>1902</v>
      </c>
      <c r="D563" s="123">
        <f>SUMIF(B$3:B$3844,B563,M$3:M$3844)/(SUMIF(B$3:B$3844,B563,J$3:J$3844))</f>
        <v>0.6301097610551516</v>
      </c>
      <c r="E563" s="23">
        <v>168638</v>
      </c>
      <c r="F563" s="46" t="s">
        <v>1919</v>
      </c>
      <c r="G563" s="23"/>
      <c r="H563" s="23"/>
      <c r="I563" s="41">
        <v>486</v>
      </c>
      <c r="J563" s="41">
        <v>2134</v>
      </c>
      <c r="K563" s="118"/>
      <c r="L563" s="119"/>
      <c r="M563" s="110">
        <f>IF(L563="",I563,(MIN(J563,(L563*1.6*J563))))</f>
        <v>486</v>
      </c>
      <c r="N563" s="111">
        <f>IF(M563=0,0,(M563/J563))</f>
        <v>0.22774133083411435</v>
      </c>
    </row>
    <row r="564" spans="2:14">
      <c r="B564" s="72">
        <v>127844</v>
      </c>
      <c r="C564" s="47" t="s">
        <v>1902</v>
      </c>
      <c r="D564" s="123">
        <f>SUMIF(B$3:B$3844,B564,M$3:M$3844)/(SUMIF(B$3:B$3844,B564,J$3:J$3844))</f>
        <v>0.6301097610551516</v>
      </c>
      <c r="E564" s="47">
        <v>38340</v>
      </c>
      <c r="F564" s="48" t="s">
        <v>1920</v>
      </c>
      <c r="G564" s="47"/>
      <c r="H564" s="47"/>
      <c r="I564" s="40">
        <v>289</v>
      </c>
      <c r="J564" s="40">
        <v>677</v>
      </c>
      <c r="K564" s="118"/>
      <c r="L564" s="119"/>
      <c r="M564" s="110">
        <f>IF(L564="",I564,(MIN(J564,(L564*1.6*J564))))</f>
        <v>289</v>
      </c>
      <c r="N564" s="111">
        <f>IF(M564=0,0,(M564/J564))</f>
        <v>0.42688330871491875</v>
      </c>
    </row>
    <row r="565" spans="2:14">
      <c r="B565" s="73">
        <v>127844</v>
      </c>
      <c r="C565" s="23" t="s">
        <v>1902</v>
      </c>
      <c r="D565" s="123">
        <f>SUMIF(B$3:B$3844,B565,M$3:M$3844)/(SUMIF(B$3:B$3844,B565,J$3:J$3844))</f>
        <v>0.6301097610551516</v>
      </c>
      <c r="E565" s="23">
        <v>38381</v>
      </c>
      <c r="F565" s="46" t="s">
        <v>672</v>
      </c>
      <c r="G565" s="23"/>
      <c r="H565" s="23"/>
      <c r="I565" s="41">
        <v>693</v>
      </c>
      <c r="J565" s="41">
        <v>724</v>
      </c>
      <c r="K565" s="118"/>
      <c r="L565" s="119"/>
      <c r="M565" s="110">
        <f>IF(L565="",I565,(MIN(J565,(L565*1.6*J565))))</f>
        <v>693</v>
      </c>
      <c r="N565" s="111">
        <f>IF(M565=0,0,(M565/J565))</f>
        <v>0.95718232044198892</v>
      </c>
    </row>
    <row r="566" spans="2:14">
      <c r="B566" s="72">
        <v>127844</v>
      </c>
      <c r="C566" s="47" t="s">
        <v>1902</v>
      </c>
      <c r="D566" s="123">
        <f>SUMIF(B$3:B$3844,B566,M$3:M$3844)/(SUMIF(B$3:B$3844,B566,J$3:J$3844))</f>
        <v>0.6301097610551516</v>
      </c>
      <c r="E566" s="47">
        <v>16052243</v>
      </c>
      <c r="F566" s="48" t="s">
        <v>1921</v>
      </c>
      <c r="G566" s="47"/>
      <c r="H566" s="47"/>
      <c r="I566" s="40"/>
      <c r="J566" s="40">
        <v>245</v>
      </c>
      <c r="K566" s="118"/>
      <c r="L566" s="119"/>
      <c r="M566" s="110">
        <f>IF(L566="",I566,(MIN(J566,(L566*1.6*J566))))</f>
        <v>0</v>
      </c>
      <c r="N566" s="111">
        <f>IF(M566=0,0,(M566/J566))</f>
        <v>0</v>
      </c>
    </row>
    <row r="567" spans="2:14">
      <c r="B567" s="73">
        <v>127844</v>
      </c>
      <c r="C567" s="23" t="s">
        <v>1902</v>
      </c>
      <c r="D567" s="123">
        <f>SUMIF(B$3:B$3844,B567,M$3:M$3844)/(SUMIF(B$3:B$3844,B567,J$3:J$3844))</f>
        <v>0.6301097610551516</v>
      </c>
      <c r="E567" s="23">
        <v>38383</v>
      </c>
      <c r="F567" s="46" t="s">
        <v>1922</v>
      </c>
      <c r="G567" s="23"/>
      <c r="H567" s="23"/>
      <c r="I567" s="41">
        <v>1448</v>
      </c>
      <c r="J567" s="41">
        <v>1555</v>
      </c>
      <c r="K567" s="118"/>
      <c r="L567" s="119"/>
      <c r="M567" s="110">
        <f>IF(L567="",I567,(MIN(J567,(L567*1.6*J567))))</f>
        <v>1448</v>
      </c>
      <c r="N567" s="111">
        <f>IF(M567=0,0,(M567/J567))</f>
        <v>0.93118971061093248</v>
      </c>
    </row>
    <row r="568" spans="2:14">
      <c r="B568" s="72">
        <v>127844</v>
      </c>
      <c r="C568" s="47" t="s">
        <v>1902</v>
      </c>
      <c r="D568" s="123">
        <f>SUMIF(B$3:B$3844,B568,M$3:M$3844)/(SUMIF(B$3:B$3844,B568,J$3:J$3844))</f>
        <v>0.6301097610551516</v>
      </c>
      <c r="E568" s="47">
        <v>38382</v>
      </c>
      <c r="F568" s="48" t="s">
        <v>1923</v>
      </c>
      <c r="G568" s="47"/>
      <c r="H568" s="47"/>
      <c r="I568" s="40">
        <v>1334</v>
      </c>
      <c r="J568" s="40">
        <v>1385</v>
      </c>
      <c r="K568" s="118"/>
      <c r="L568" s="119"/>
      <c r="M568" s="110">
        <f>IF(L568="",I568,(MIN(J568,(L568*1.6*J568))))</f>
        <v>1334</v>
      </c>
      <c r="N568" s="111">
        <f>IF(M568=0,0,(M568/J568))</f>
        <v>0.96317689530685924</v>
      </c>
    </row>
    <row r="569" spans="2:14">
      <c r="B569" s="73">
        <v>127844</v>
      </c>
      <c r="C569" s="23" t="s">
        <v>1902</v>
      </c>
      <c r="D569" s="123">
        <f>SUMIF(B$3:B$3844,B569,M$3:M$3844)/(SUMIF(B$3:B$3844,B569,J$3:J$3844))</f>
        <v>0.6301097610551516</v>
      </c>
      <c r="E569" s="23">
        <v>179041</v>
      </c>
      <c r="F569" s="46" t="s">
        <v>1924</v>
      </c>
      <c r="G569" s="23"/>
      <c r="H569" s="23"/>
      <c r="I569" s="41"/>
      <c r="J569" s="41">
        <v>0</v>
      </c>
      <c r="K569" s="118"/>
      <c r="L569" s="119"/>
      <c r="M569" s="110">
        <f>IF(L569="",I569,(MIN(J569,(L569*1.6*J569))))</f>
        <v>0</v>
      </c>
      <c r="N569" s="111">
        <f>IF(M569=0,0,(M569/J569))</f>
        <v>0</v>
      </c>
    </row>
    <row r="570" spans="2:14">
      <c r="B570" s="72">
        <v>127844</v>
      </c>
      <c r="C570" s="47" t="s">
        <v>1902</v>
      </c>
      <c r="D570" s="123">
        <f>SUMIF(B$3:B$3844,B570,M$3:M$3844)/(SUMIF(B$3:B$3844,B570,J$3:J$3844))</f>
        <v>0.6301097610551516</v>
      </c>
      <c r="E570" s="47">
        <v>38338</v>
      </c>
      <c r="F570" s="48" t="s">
        <v>1925</v>
      </c>
      <c r="G570" s="47"/>
      <c r="H570" s="47"/>
      <c r="I570" s="40">
        <v>219</v>
      </c>
      <c r="J570" s="40">
        <v>516</v>
      </c>
      <c r="K570" s="118"/>
      <c r="L570" s="119"/>
      <c r="M570" s="110">
        <f>IF(L570="",I570,(MIN(J570,(L570*1.6*J570))))</f>
        <v>219</v>
      </c>
      <c r="N570" s="111">
        <f>IF(M570=0,0,(M570/J570))</f>
        <v>0.42441860465116277</v>
      </c>
    </row>
    <row r="571" spans="2:14">
      <c r="B571" s="73">
        <v>127844</v>
      </c>
      <c r="C571" s="23" t="s">
        <v>1902</v>
      </c>
      <c r="D571" s="123">
        <f>SUMIF(B$3:B$3844,B571,M$3:M$3844)/(SUMIF(B$3:B$3844,B571,J$3:J$3844))</f>
        <v>0.6301097610551516</v>
      </c>
      <c r="E571" s="23">
        <v>38380</v>
      </c>
      <c r="F571" s="46" t="s">
        <v>1926</v>
      </c>
      <c r="G571" s="23"/>
      <c r="H571" s="23"/>
      <c r="I571" s="41">
        <v>702</v>
      </c>
      <c r="J571" s="41">
        <v>713</v>
      </c>
      <c r="K571" s="118"/>
      <c r="L571" s="119"/>
      <c r="M571" s="110">
        <f>IF(L571="",I571,(MIN(J571,(L571*1.6*J571))))</f>
        <v>702</v>
      </c>
      <c r="N571" s="111">
        <f>IF(M571=0,0,(M571/J571))</f>
        <v>0.98457223001402527</v>
      </c>
    </row>
    <row r="572" spans="2:14">
      <c r="B572" s="72">
        <v>127844</v>
      </c>
      <c r="C572" s="47" t="s">
        <v>1902</v>
      </c>
      <c r="D572" s="123">
        <f>SUMIF(B$3:B$3844,B572,M$3:M$3844)/(SUMIF(B$3:B$3844,B572,J$3:J$3844))</f>
        <v>0.6301097610551516</v>
      </c>
      <c r="E572" s="47">
        <v>38372</v>
      </c>
      <c r="F572" s="48" t="s">
        <v>1927</v>
      </c>
      <c r="G572" s="47"/>
      <c r="H572" s="47"/>
      <c r="I572" s="40">
        <v>170</v>
      </c>
      <c r="J572" s="40">
        <v>843</v>
      </c>
      <c r="K572" s="118"/>
      <c r="L572" s="119"/>
      <c r="M572" s="110">
        <f>IF(L572="",I572,(MIN(J572,(L572*1.6*J572))))</f>
        <v>170</v>
      </c>
      <c r="N572" s="111">
        <f>IF(M572=0,0,(M572/J572))</f>
        <v>0.20166073546856464</v>
      </c>
    </row>
    <row r="573" spans="2:14">
      <c r="B573" s="73">
        <v>127844</v>
      </c>
      <c r="C573" s="23" t="s">
        <v>1902</v>
      </c>
      <c r="D573" s="123">
        <f>SUMIF(B$3:B$3844,B573,M$3:M$3844)/(SUMIF(B$3:B$3844,B573,J$3:J$3844))</f>
        <v>0.6301097610551516</v>
      </c>
      <c r="E573" s="23">
        <v>38360</v>
      </c>
      <c r="F573" s="46" t="s">
        <v>1928</v>
      </c>
      <c r="G573" s="23"/>
      <c r="H573" s="23"/>
      <c r="I573" s="41">
        <v>494</v>
      </c>
      <c r="J573" s="41">
        <v>663</v>
      </c>
      <c r="K573" s="118"/>
      <c r="L573" s="119"/>
      <c r="M573" s="110">
        <f>IF(L573="",I573,(MIN(J573,(L573*1.6*J573))))</f>
        <v>494</v>
      </c>
      <c r="N573" s="111">
        <f>IF(M573=0,0,(M573/J573))</f>
        <v>0.74509803921568629</v>
      </c>
    </row>
    <row r="574" spans="2:14">
      <c r="B574" s="72">
        <v>127844</v>
      </c>
      <c r="C574" s="47" t="s">
        <v>1902</v>
      </c>
      <c r="D574" s="123">
        <f>SUMIF(B$3:B$3844,B574,M$3:M$3844)/(SUMIF(B$3:B$3844,B574,J$3:J$3844))</f>
        <v>0.6301097610551516</v>
      </c>
      <c r="E574" s="47">
        <v>38359</v>
      </c>
      <c r="F574" s="48" t="s">
        <v>1929</v>
      </c>
      <c r="G574" s="47"/>
      <c r="H574" s="47"/>
      <c r="I574" s="40">
        <v>1095</v>
      </c>
      <c r="J574" s="40">
        <v>1555</v>
      </c>
      <c r="K574" s="118"/>
      <c r="L574" s="119"/>
      <c r="M574" s="110">
        <f>IF(L574="",I574,(MIN(J574,(L574*1.6*J574))))</f>
        <v>1095</v>
      </c>
      <c r="N574" s="111">
        <f>IF(M574=0,0,(M574/J574))</f>
        <v>0.70418006430868163</v>
      </c>
    </row>
    <row r="575" spans="2:14">
      <c r="B575" s="73">
        <v>127844</v>
      </c>
      <c r="C575" s="23" t="s">
        <v>1902</v>
      </c>
      <c r="D575" s="123">
        <f>SUMIF(B$3:B$3844,B575,M$3:M$3844)/(SUMIF(B$3:B$3844,B575,J$3:J$3844))</f>
        <v>0.6301097610551516</v>
      </c>
      <c r="E575" s="23">
        <v>38345</v>
      </c>
      <c r="F575" s="46" t="s">
        <v>1930</v>
      </c>
      <c r="G575" s="23"/>
      <c r="H575" s="23"/>
      <c r="I575" s="41"/>
      <c r="J575" s="41">
        <v>0</v>
      </c>
      <c r="K575" s="118"/>
      <c r="L575" s="119"/>
      <c r="M575" s="110">
        <f>IF(L575="",I575,(MIN(J575,(L575*1.6*J575))))</f>
        <v>0</v>
      </c>
      <c r="N575" s="111">
        <f>IF(M575=0,0,(M575/J575))</f>
        <v>0</v>
      </c>
    </row>
    <row r="576" spans="2:14">
      <c r="B576" s="72">
        <v>127844</v>
      </c>
      <c r="C576" s="47" t="s">
        <v>1902</v>
      </c>
      <c r="D576" s="123">
        <f>SUMIF(B$3:B$3844,B576,M$3:M$3844)/(SUMIF(B$3:B$3844,B576,J$3:J$3844))</f>
        <v>0.6301097610551516</v>
      </c>
      <c r="E576" s="47">
        <v>38345</v>
      </c>
      <c r="F576" s="48" t="s">
        <v>1931</v>
      </c>
      <c r="G576" s="47"/>
      <c r="H576" s="47"/>
      <c r="I576" s="40">
        <v>439</v>
      </c>
      <c r="J576" s="40">
        <v>599</v>
      </c>
      <c r="K576" s="118"/>
      <c r="L576" s="119"/>
      <c r="M576" s="110">
        <f>IF(L576="",I576,(MIN(J576,(L576*1.6*J576))))</f>
        <v>439</v>
      </c>
      <c r="N576" s="111">
        <f>IF(M576=0,0,(M576/J576))</f>
        <v>0.73288814691151916</v>
      </c>
    </row>
    <row r="577" spans="2:14">
      <c r="B577" s="73">
        <v>127844</v>
      </c>
      <c r="C577" s="23" t="s">
        <v>1902</v>
      </c>
      <c r="D577" s="123">
        <f>SUMIF(B$3:B$3844,B577,M$3:M$3844)/(SUMIF(B$3:B$3844,B577,J$3:J$3844))</f>
        <v>0.6301097610551516</v>
      </c>
      <c r="E577" s="23">
        <v>38361</v>
      </c>
      <c r="F577" s="46" t="s">
        <v>1932</v>
      </c>
      <c r="G577" s="23"/>
      <c r="H577" s="23"/>
      <c r="I577" s="41">
        <v>724</v>
      </c>
      <c r="J577" s="41">
        <v>774</v>
      </c>
      <c r="K577" s="118"/>
      <c r="L577" s="119"/>
      <c r="M577" s="110">
        <f>IF(L577="",I577,(MIN(J577,(L577*1.6*J577))))</f>
        <v>724</v>
      </c>
      <c r="N577" s="111">
        <f>IF(M577=0,0,(M577/J577))</f>
        <v>0.93540051679586567</v>
      </c>
    </row>
    <row r="578" spans="2:14">
      <c r="B578" s="72">
        <v>127844</v>
      </c>
      <c r="C578" s="47" t="s">
        <v>1902</v>
      </c>
      <c r="D578" s="123">
        <f>SUMIF(B$3:B$3844,B578,M$3:M$3844)/(SUMIF(B$3:B$3844,B578,J$3:J$3844))</f>
        <v>0.6301097610551516</v>
      </c>
      <c r="E578" s="47">
        <v>38362</v>
      </c>
      <c r="F578" s="48" t="s">
        <v>1933</v>
      </c>
      <c r="G578" s="47"/>
      <c r="H578" s="47"/>
      <c r="I578" s="40">
        <v>814</v>
      </c>
      <c r="J578" s="40">
        <v>910</v>
      </c>
      <c r="K578" s="118"/>
      <c r="L578" s="119"/>
      <c r="M578" s="110">
        <f>IF(L578="",I578,(MIN(J578,(L578*1.6*J578))))</f>
        <v>814</v>
      </c>
      <c r="N578" s="111">
        <f>IF(M578=0,0,(M578/J578))</f>
        <v>0.89450549450549455</v>
      </c>
    </row>
    <row r="579" spans="2:14">
      <c r="B579" s="73">
        <v>127844</v>
      </c>
      <c r="C579" s="23" t="s">
        <v>1902</v>
      </c>
      <c r="D579" s="123">
        <f>SUMIF(B$3:B$3844,B579,M$3:M$3844)/(SUMIF(B$3:B$3844,B579,J$3:J$3844))</f>
        <v>0.6301097610551516</v>
      </c>
      <c r="E579" s="23">
        <v>212178</v>
      </c>
      <c r="F579" s="46" t="s">
        <v>1934</v>
      </c>
      <c r="G579" s="23"/>
      <c r="H579" s="23"/>
      <c r="I579" s="41">
        <v>101</v>
      </c>
      <c r="J579" s="41">
        <v>433</v>
      </c>
      <c r="K579" s="118"/>
      <c r="L579" s="119"/>
      <c r="M579" s="110">
        <f>IF(L579="",I579,(MIN(J579,(L579*1.6*J579))))</f>
        <v>101</v>
      </c>
      <c r="N579" s="111">
        <f>IF(M579=0,0,(M579/J579))</f>
        <v>0.23325635103926096</v>
      </c>
    </row>
    <row r="580" spans="2:14">
      <c r="B580" s="72">
        <v>127844</v>
      </c>
      <c r="C580" s="47" t="s">
        <v>1902</v>
      </c>
      <c r="D580" s="123">
        <f>SUMIF(B$3:B$3844,B580,M$3:M$3844)/(SUMIF(B$3:B$3844,B580,J$3:J$3844))</f>
        <v>0.6301097610551516</v>
      </c>
      <c r="E580" s="47">
        <v>16049341</v>
      </c>
      <c r="F580" s="48" t="s">
        <v>1935</v>
      </c>
      <c r="G580" s="47"/>
      <c r="H580" s="47"/>
      <c r="I580" s="40">
        <v>697</v>
      </c>
      <c r="J580" s="40">
        <v>726</v>
      </c>
      <c r="K580" s="118"/>
      <c r="L580" s="119"/>
      <c r="M580" s="110">
        <f>IF(L580="",I580,(MIN(J580,(L580*1.6*J580))))</f>
        <v>697</v>
      </c>
      <c r="N580" s="111">
        <f>IF(M580=0,0,(M580/J580))</f>
        <v>0.96005509641873277</v>
      </c>
    </row>
    <row r="581" spans="2:14">
      <c r="B581" s="73">
        <v>127844</v>
      </c>
      <c r="C581" s="23" t="s">
        <v>1902</v>
      </c>
      <c r="D581" s="123">
        <f>SUMIF(B$3:B$3844,B581,M$3:M$3844)/(SUMIF(B$3:B$3844,B581,J$3:J$3844))</f>
        <v>0.6301097610551516</v>
      </c>
      <c r="E581" s="23">
        <v>177634</v>
      </c>
      <c r="F581" s="46" t="s">
        <v>1936</v>
      </c>
      <c r="G581" s="23"/>
      <c r="H581" s="23"/>
      <c r="I581" s="41">
        <v>43</v>
      </c>
      <c r="J581" s="41">
        <v>50</v>
      </c>
      <c r="K581" s="118"/>
      <c r="L581" s="119"/>
      <c r="M581" s="110">
        <f>IF(L581="",I581,(MIN(J581,(L581*1.6*J581))))</f>
        <v>43</v>
      </c>
      <c r="N581" s="111">
        <f>IF(M581=0,0,(M581/J581))</f>
        <v>0.86</v>
      </c>
    </row>
    <row r="582" spans="2:14">
      <c r="B582" s="72">
        <v>127844</v>
      </c>
      <c r="C582" s="47" t="s">
        <v>1902</v>
      </c>
      <c r="D582" s="123">
        <f>SUMIF(B$3:B$3844,B582,M$3:M$3844)/(SUMIF(B$3:B$3844,B582,J$3:J$3844))</f>
        <v>0.6301097610551516</v>
      </c>
      <c r="E582" s="47">
        <v>38337</v>
      </c>
      <c r="F582" s="48" t="s">
        <v>1937</v>
      </c>
      <c r="G582" s="47"/>
      <c r="H582" s="47"/>
      <c r="I582" s="40">
        <v>708</v>
      </c>
      <c r="J582" s="40">
        <v>1667</v>
      </c>
      <c r="K582" s="118"/>
      <c r="L582" s="119"/>
      <c r="M582" s="110">
        <f>IF(L582="",I582,(MIN(J582,(L582*1.6*J582))))</f>
        <v>708</v>
      </c>
      <c r="N582" s="111">
        <f>IF(M582=0,0,(M582/J582))</f>
        <v>0.42471505698860229</v>
      </c>
    </row>
    <row r="583" spans="2:14">
      <c r="B583" s="73">
        <v>127844</v>
      </c>
      <c r="C583" s="23" t="s">
        <v>1902</v>
      </c>
      <c r="D583" s="123">
        <f>SUMIF(B$3:B$3844,B583,M$3:M$3844)/(SUMIF(B$3:B$3844,B583,J$3:J$3844))</f>
        <v>0.6301097610551516</v>
      </c>
      <c r="E583" s="23">
        <v>38349</v>
      </c>
      <c r="F583" s="46" t="s">
        <v>1938</v>
      </c>
      <c r="G583" s="23"/>
      <c r="H583" s="23"/>
      <c r="I583" s="41">
        <v>327</v>
      </c>
      <c r="J583" s="41">
        <v>520</v>
      </c>
      <c r="K583" s="118"/>
      <c r="L583" s="119"/>
      <c r="M583" s="110">
        <f>IF(L583="",I583,(MIN(J583,(L583*1.6*J583))))</f>
        <v>327</v>
      </c>
      <c r="N583" s="111">
        <f>IF(M583=0,0,(M583/J583))</f>
        <v>0.62884615384615383</v>
      </c>
    </row>
    <row r="584" spans="2:14">
      <c r="B584" s="72">
        <v>127844</v>
      </c>
      <c r="C584" s="47" t="s">
        <v>1902</v>
      </c>
      <c r="D584" s="123">
        <f>SUMIF(B$3:B$3844,B584,M$3:M$3844)/(SUMIF(B$3:B$3844,B584,J$3:J$3844))</f>
        <v>0.6301097610551516</v>
      </c>
      <c r="E584" s="47">
        <v>212175</v>
      </c>
      <c r="F584" s="48" t="s">
        <v>1939</v>
      </c>
      <c r="G584" s="47"/>
      <c r="H584" s="47"/>
      <c r="I584" s="40">
        <v>27</v>
      </c>
      <c r="J584" s="40">
        <v>29</v>
      </c>
      <c r="K584" s="118"/>
      <c r="L584" s="119"/>
      <c r="M584" s="110">
        <f>IF(L584="",I584,(MIN(J584,(L584*1.6*J584))))</f>
        <v>27</v>
      </c>
      <c r="N584" s="111">
        <f>IF(M584=0,0,(M584/J584))</f>
        <v>0.93103448275862066</v>
      </c>
    </row>
    <row r="585" spans="2:14">
      <c r="B585" s="73">
        <v>127844</v>
      </c>
      <c r="C585" s="23" t="s">
        <v>1902</v>
      </c>
      <c r="D585" s="123">
        <f>SUMIF(B$3:B$3844,B585,M$3:M$3844)/(SUMIF(B$3:B$3844,B585,J$3:J$3844))</f>
        <v>0.6301097610551516</v>
      </c>
      <c r="E585" s="23">
        <v>228989</v>
      </c>
      <c r="F585" s="46" t="s">
        <v>1940</v>
      </c>
      <c r="G585" s="23"/>
      <c r="H585" s="23"/>
      <c r="I585" s="41">
        <v>23</v>
      </c>
      <c r="J585" s="41">
        <v>25</v>
      </c>
      <c r="K585" s="118"/>
      <c r="L585" s="119"/>
      <c r="M585" s="110">
        <f>IF(L585="",I585,(MIN(J585,(L585*1.6*J585))))</f>
        <v>23</v>
      </c>
      <c r="N585" s="111">
        <f>IF(M585=0,0,(M585/J585))</f>
        <v>0.92</v>
      </c>
    </row>
    <row r="586" spans="2:14">
      <c r="B586" s="72">
        <v>127844</v>
      </c>
      <c r="C586" s="47" t="s">
        <v>1902</v>
      </c>
      <c r="D586" s="123">
        <f>SUMIF(B$3:B$3844,B586,M$3:M$3844)/(SUMIF(B$3:B$3844,B586,J$3:J$3844))</f>
        <v>0.6301097610551516</v>
      </c>
      <c r="E586" s="47">
        <v>16027058</v>
      </c>
      <c r="F586" s="48" t="s">
        <v>1941</v>
      </c>
      <c r="G586" s="47"/>
      <c r="H586" s="47"/>
      <c r="I586" s="40">
        <v>267</v>
      </c>
      <c r="J586" s="40">
        <v>865</v>
      </c>
      <c r="K586" s="118"/>
      <c r="L586" s="119"/>
      <c r="M586" s="110">
        <f>IF(L586="",I586,(MIN(J586,(L586*1.6*J586))))</f>
        <v>267</v>
      </c>
      <c r="N586" s="111">
        <f>IF(M586=0,0,(M586/J586))</f>
        <v>0.30867052023121389</v>
      </c>
    </row>
    <row r="587" spans="2:14">
      <c r="B587" s="73">
        <v>127844</v>
      </c>
      <c r="C587" s="23" t="s">
        <v>1902</v>
      </c>
      <c r="D587" s="123">
        <f>SUMIF(B$3:B$3844,B587,M$3:M$3844)/(SUMIF(B$3:B$3844,B587,J$3:J$3844))</f>
        <v>0.6301097610551516</v>
      </c>
      <c r="E587" s="23">
        <v>38371</v>
      </c>
      <c r="F587" s="46" t="s">
        <v>1942</v>
      </c>
      <c r="G587" s="23"/>
      <c r="H587" s="23"/>
      <c r="I587" s="41">
        <v>381</v>
      </c>
      <c r="J587" s="41">
        <v>1094</v>
      </c>
      <c r="K587" s="118"/>
      <c r="L587" s="119"/>
      <c r="M587" s="110">
        <f>IF(L587="",I587,(MIN(J587,(L587*1.6*J587))))</f>
        <v>381</v>
      </c>
      <c r="N587" s="111">
        <f>IF(M587=0,0,(M587/J587))</f>
        <v>0.34826325411334552</v>
      </c>
    </row>
    <row r="588" spans="2:14">
      <c r="B588" s="72">
        <v>127844</v>
      </c>
      <c r="C588" s="47" t="s">
        <v>1902</v>
      </c>
      <c r="D588" s="123">
        <f>SUMIF(B$3:B$3844,B588,M$3:M$3844)/(SUMIF(B$3:B$3844,B588,J$3:J$3844))</f>
        <v>0.6301097610551516</v>
      </c>
      <c r="E588" s="47">
        <v>228992</v>
      </c>
      <c r="F588" s="48" t="s">
        <v>1943</v>
      </c>
      <c r="G588" s="47"/>
      <c r="H588" s="47"/>
      <c r="I588" s="40">
        <v>280</v>
      </c>
      <c r="J588" s="40">
        <v>693</v>
      </c>
      <c r="K588" s="118"/>
      <c r="L588" s="119"/>
      <c r="M588" s="110">
        <f>IF(L588="",I588,(MIN(J588,(L588*1.6*J588))))</f>
        <v>280</v>
      </c>
      <c r="N588" s="111">
        <f>IF(M588=0,0,(M588/J588))</f>
        <v>0.40404040404040403</v>
      </c>
    </row>
    <row r="589" spans="2:14">
      <c r="B589" s="73">
        <v>127844</v>
      </c>
      <c r="C589" s="23" t="s">
        <v>1902</v>
      </c>
      <c r="D589" s="123">
        <f>SUMIF(B$3:B$3844,B589,M$3:M$3844)/(SUMIF(B$3:B$3844,B589,J$3:J$3844))</f>
        <v>0.6301097610551516</v>
      </c>
      <c r="E589" s="23">
        <v>16049337</v>
      </c>
      <c r="F589" s="46" t="s">
        <v>418</v>
      </c>
      <c r="G589" s="23"/>
      <c r="H589" s="23"/>
      <c r="I589" s="41">
        <v>367</v>
      </c>
      <c r="J589" s="41">
        <v>507</v>
      </c>
      <c r="K589" s="118"/>
      <c r="L589" s="119"/>
      <c r="M589" s="110">
        <f>IF(L589="",I589,(MIN(J589,(L589*1.6*J589))))</f>
        <v>367</v>
      </c>
      <c r="N589" s="111">
        <f>IF(M589=0,0,(M589/J589))</f>
        <v>0.72386587771203159</v>
      </c>
    </row>
    <row r="590" spans="2:14">
      <c r="B590" s="72">
        <v>127844</v>
      </c>
      <c r="C590" s="47" t="s">
        <v>1902</v>
      </c>
      <c r="D590" s="123">
        <f>SUMIF(B$3:B$3844,B590,M$3:M$3844)/(SUMIF(B$3:B$3844,B590,J$3:J$3844))</f>
        <v>0.6301097610551516</v>
      </c>
      <c r="E590" s="47">
        <v>16027048</v>
      </c>
      <c r="F590" s="48" t="s">
        <v>1944</v>
      </c>
      <c r="G590" s="47"/>
      <c r="H590" s="47"/>
      <c r="I590" s="40">
        <v>932</v>
      </c>
      <c r="J590" s="40">
        <v>1856</v>
      </c>
      <c r="K590" s="118"/>
      <c r="L590" s="119"/>
      <c r="M590" s="110">
        <f>IF(L590="",I590,(MIN(J590,(L590*1.6*J590))))</f>
        <v>932</v>
      </c>
      <c r="N590" s="111">
        <f>IF(M590=0,0,(M590/J590))</f>
        <v>0.50215517241379315</v>
      </c>
    </row>
    <row r="591" spans="2:14">
      <c r="B591" s="73">
        <v>127844</v>
      </c>
      <c r="C591" s="23" t="s">
        <v>1902</v>
      </c>
      <c r="D591" s="123">
        <f>SUMIF(B$3:B$3844,B591,M$3:M$3844)/(SUMIF(B$3:B$3844,B591,J$3:J$3844))</f>
        <v>0.6301097610551516</v>
      </c>
      <c r="E591" s="23">
        <v>16049338</v>
      </c>
      <c r="F591" s="46" t="s">
        <v>163</v>
      </c>
      <c r="G591" s="23"/>
      <c r="H591" s="23"/>
      <c r="I591" s="41">
        <v>743</v>
      </c>
      <c r="J591" s="41">
        <v>769</v>
      </c>
      <c r="K591" s="118"/>
      <c r="L591" s="119"/>
      <c r="M591" s="110">
        <f>IF(L591="",I591,(MIN(J591,(L591*1.6*J591))))</f>
        <v>743</v>
      </c>
      <c r="N591" s="111">
        <f>IF(M591=0,0,(M591/J591))</f>
        <v>0.96618985695708715</v>
      </c>
    </row>
    <row r="592" spans="2:14">
      <c r="B592" s="72">
        <v>127844</v>
      </c>
      <c r="C592" s="47" t="s">
        <v>1902</v>
      </c>
      <c r="D592" s="123">
        <f>SUMIF(B$3:B$3844,B592,M$3:M$3844)/(SUMIF(B$3:B$3844,B592,J$3:J$3844))</f>
        <v>0.6301097610551516</v>
      </c>
      <c r="E592" s="47">
        <v>38343</v>
      </c>
      <c r="F592" s="48" t="s">
        <v>1945</v>
      </c>
      <c r="G592" s="47"/>
      <c r="H592" s="47"/>
      <c r="I592" s="40">
        <v>250</v>
      </c>
      <c r="J592" s="40">
        <v>780</v>
      </c>
      <c r="K592" s="118"/>
      <c r="L592" s="119"/>
      <c r="M592" s="110">
        <f>IF(L592="",I592,(MIN(J592,(L592*1.6*J592))))</f>
        <v>250</v>
      </c>
      <c r="N592" s="111">
        <f>IF(M592=0,0,(M592/J592))</f>
        <v>0.32051282051282054</v>
      </c>
    </row>
    <row r="593" spans="2:14">
      <c r="B593" s="73">
        <v>127844</v>
      </c>
      <c r="C593" s="23" t="s">
        <v>1902</v>
      </c>
      <c r="D593" s="123">
        <f>SUMIF(B$3:B$3844,B593,M$3:M$3844)/(SUMIF(B$3:B$3844,B593,J$3:J$3844))</f>
        <v>0.6301097610551516</v>
      </c>
      <c r="E593" s="23">
        <v>38352</v>
      </c>
      <c r="F593" s="46" t="s">
        <v>1946</v>
      </c>
      <c r="G593" s="23"/>
      <c r="H593" s="23"/>
      <c r="I593" s="41">
        <v>415</v>
      </c>
      <c r="J593" s="41">
        <v>1010</v>
      </c>
      <c r="K593" s="118"/>
      <c r="L593" s="119"/>
      <c r="M593" s="110">
        <f>IF(L593="",I593,(MIN(J593,(L593*1.6*J593))))</f>
        <v>415</v>
      </c>
      <c r="N593" s="111">
        <f>IF(M593=0,0,(M593/J593))</f>
        <v>0.41089108910891087</v>
      </c>
    </row>
    <row r="594" spans="2:14">
      <c r="B594" s="72">
        <v>127844</v>
      </c>
      <c r="C594" s="47" t="s">
        <v>1902</v>
      </c>
      <c r="D594" s="123">
        <f>SUMIF(B$3:B$3844,B594,M$3:M$3844)/(SUMIF(B$3:B$3844,B594,J$3:J$3844))</f>
        <v>0.6301097610551516</v>
      </c>
      <c r="E594" s="47">
        <v>38386</v>
      </c>
      <c r="F594" s="48" t="s">
        <v>427</v>
      </c>
      <c r="G594" s="47"/>
      <c r="H594" s="47"/>
      <c r="I594" s="40">
        <v>705</v>
      </c>
      <c r="J594" s="40">
        <v>710</v>
      </c>
      <c r="K594" s="118"/>
      <c r="L594" s="119"/>
      <c r="M594" s="110">
        <f>IF(L594="",I594,(MIN(J594,(L594*1.6*J594))))</f>
        <v>705</v>
      </c>
      <c r="N594" s="111">
        <f>IF(M594=0,0,(M594/J594))</f>
        <v>0.99295774647887325</v>
      </c>
    </row>
    <row r="595" spans="2:14">
      <c r="B595" s="73">
        <v>127844</v>
      </c>
      <c r="C595" s="23" t="s">
        <v>1902</v>
      </c>
      <c r="D595" s="123">
        <f>SUMIF(B$3:B$3844,B595,M$3:M$3844)/(SUMIF(B$3:B$3844,B595,J$3:J$3844))</f>
        <v>0.6301097610551516</v>
      </c>
      <c r="E595" s="23">
        <v>38293</v>
      </c>
      <c r="F595" s="46" t="s">
        <v>1947</v>
      </c>
      <c r="G595" s="23"/>
      <c r="H595" s="23"/>
      <c r="I595" s="41">
        <v>481</v>
      </c>
      <c r="J595" s="41">
        <v>667</v>
      </c>
      <c r="K595" s="118"/>
      <c r="L595" s="119"/>
      <c r="M595" s="110">
        <f>IF(L595="",I595,(MIN(J595,(L595*1.6*J595))))</f>
        <v>481</v>
      </c>
      <c r="N595" s="111">
        <f>IF(M595=0,0,(M595/J595))</f>
        <v>0.72113943028485761</v>
      </c>
    </row>
    <row r="596" spans="2:14">
      <c r="B596" s="72">
        <v>127844</v>
      </c>
      <c r="C596" s="47" t="s">
        <v>1902</v>
      </c>
      <c r="D596" s="123">
        <f>SUMIF(B$3:B$3844,B596,M$3:M$3844)/(SUMIF(B$3:B$3844,B596,J$3:J$3844))</f>
        <v>0.6301097610551516</v>
      </c>
      <c r="E596" s="47">
        <v>234276</v>
      </c>
      <c r="F596" s="48" t="s">
        <v>743</v>
      </c>
      <c r="G596" s="47"/>
      <c r="H596" s="47"/>
      <c r="I596" s="40">
        <v>342</v>
      </c>
      <c r="J596" s="40">
        <v>570</v>
      </c>
      <c r="K596" s="118"/>
      <c r="L596" s="119"/>
      <c r="M596" s="110">
        <f>IF(L596="",I596,(MIN(J596,(L596*1.6*J596))))</f>
        <v>342</v>
      </c>
      <c r="N596" s="111">
        <f>IF(M596=0,0,(M596/J596))</f>
        <v>0.6</v>
      </c>
    </row>
    <row r="597" spans="2:14">
      <c r="B597" s="73">
        <v>127844</v>
      </c>
      <c r="C597" s="23" t="s">
        <v>1902</v>
      </c>
      <c r="D597" s="123">
        <f>SUMIF(B$3:B$3844,B597,M$3:M$3844)/(SUMIF(B$3:B$3844,B597,J$3:J$3844))</f>
        <v>0.6301097610551516</v>
      </c>
      <c r="E597" s="23">
        <v>38342</v>
      </c>
      <c r="F597" s="46" t="s">
        <v>1948</v>
      </c>
      <c r="G597" s="23"/>
      <c r="H597" s="23"/>
      <c r="I597" s="41">
        <v>265</v>
      </c>
      <c r="J597" s="41">
        <v>741</v>
      </c>
      <c r="K597" s="118"/>
      <c r="L597" s="119"/>
      <c r="M597" s="110">
        <f>IF(L597="",I597,(MIN(J597,(L597*1.6*J597))))</f>
        <v>265</v>
      </c>
      <c r="N597" s="111">
        <f>IF(M597=0,0,(M597/J597))</f>
        <v>0.35762483130904182</v>
      </c>
    </row>
    <row r="598" spans="2:14">
      <c r="B598" s="72">
        <v>127844</v>
      </c>
      <c r="C598" s="47" t="s">
        <v>1902</v>
      </c>
      <c r="D598" s="123">
        <f>SUMIF(B$3:B$3844,B598,M$3:M$3844)/(SUMIF(B$3:B$3844,B598,J$3:J$3844))</f>
        <v>0.6301097610551516</v>
      </c>
      <c r="E598" s="47">
        <v>38355</v>
      </c>
      <c r="F598" s="48" t="s">
        <v>445</v>
      </c>
      <c r="G598" s="47"/>
      <c r="H598" s="47"/>
      <c r="I598" s="40">
        <v>499</v>
      </c>
      <c r="J598" s="40">
        <v>557</v>
      </c>
      <c r="K598" s="118"/>
      <c r="L598" s="119"/>
      <c r="M598" s="110">
        <f>IF(L598="",I598,(MIN(J598,(L598*1.6*J598))))</f>
        <v>499</v>
      </c>
      <c r="N598" s="111">
        <f>IF(M598=0,0,(M598/J598))</f>
        <v>0.89587073608617596</v>
      </c>
    </row>
    <row r="599" spans="2:14">
      <c r="B599" s="73">
        <v>127844</v>
      </c>
      <c r="C599" s="23" t="s">
        <v>1902</v>
      </c>
      <c r="D599" s="123">
        <f>SUMIF(B$3:B$3844,B599,M$3:M$3844)/(SUMIF(B$3:B$3844,B599,J$3:J$3844))</f>
        <v>0.6301097610551516</v>
      </c>
      <c r="E599" s="23">
        <v>16067024</v>
      </c>
      <c r="F599" s="46" t="s">
        <v>1949</v>
      </c>
      <c r="G599" s="23"/>
      <c r="H599" s="23"/>
      <c r="I599" s="41"/>
      <c r="J599" s="41">
        <v>62</v>
      </c>
      <c r="K599" s="118"/>
      <c r="L599" s="119"/>
      <c r="M599" s="110">
        <f>IF(L599="",I599,(MIN(J599,(L599*1.6*J599))))</f>
        <v>0</v>
      </c>
      <c r="N599" s="111">
        <f>IF(M599=0,0,(M599/J599))</f>
        <v>0</v>
      </c>
    </row>
    <row r="600" spans="2:14">
      <c r="B600" s="72">
        <v>127844</v>
      </c>
      <c r="C600" s="47" t="s">
        <v>1902</v>
      </c>
      <c r="D600" s="123">
        <f>SUMIF(B$3:B$3844,B600,M$3:M$3844)/(SUMIF(B$3:B$3844,B600,J$3:J$3844))</f>
        <v>0.6301097610551516</v>
      </c>
      <c r="E600" s="47">
        <v>165245</v>
      </c>
      <c r="F600" s="48" t="s">
        <v>1950</v>
      </c>
      <c r="G600" s="47"/>
      <c r="H600" s="47"/>
      <c r="I600" s="40">
        <v>55</v>
      </c>
      <c r="J600" s="40">
        <v>66</v>
      </c>
      <c r="K600" s="118"/>
      <c r="L600" s="119"/>
      <c r="M600" s="110">
        <f>IF(L600="",I600,(MIN(J600,(L600*1.6*J600))))</f>
        <v>55</v>
      </c>
      <c r="N600" s="111">
        <f>IF(M600=0,0,(M600/J600))</f>
        <v>0.83333333333333337</v>
      </c>
    </row>
    <row r="601" spans="2:14">
      <c r="B601" s="73">
        <v>127844</v>
      </c>
      <c r="C601" s="23" t="s">
        <v>1902</v>
      </c>
      <c r="D601" s="123">
        <f>SUMIF(B$3:B$3844,B601,M$3:M$3844)/(SUMIF(B$3:B$3844,B601,J$3:J$3844))</f>
        <v>0.6301097610551516</v>
      </c>
      <c r="E601" s="23">
        <v>16068320</v>
      </c>
      <c r="F601" s="46" t="s">
        <v>1951</v>
      </c>
      <c r="G601" s="23"/>
      <c r="H601" s="23"/>
      <c r="I601" s="41">
        <v>26</v>
      </c>
      <c r="J601" s="41">
        <v>29</v>
      </c>
      <c r="K601" s="118"/>
      <c r="L601" s="119"/>
      <c r="M601" s="110">
        <f>IF(L601="",I601,(MIN(J601,(L601*1.6*J601))))</f>
        <v>26</v>
      </c>
      <c r="N601" s="111">
        <f>IF(M601=0,0,(M601/J601))</f>
        <v>0.89655172413793105</v>
      </c>
    </row>
    <row r="602" spans="2:14">
      <c r="B602" s="72">
        <v>127844</v>
      </c>
      <c r="C602" s="47" t="s">
        <v>1902</v>
      </c>
      <c r="D602" s="123">
        <f>SUMIF(B$3:B$3844,B602,M$3:M$3844)/(SUMIF(B$3:B$3844,B602,J$3:J$3844))</f>
        <v>0.6301097610551516</v>
      </c>
      <c r="E602" s="47">
        <v>38389</v>
      </c>
      <c r="F602" s="48" t="s">
        <v>1952</v>
      </c>
      <c r="G602" s="47"/>
      <c r="H602" s="47"/>
      <c r="I602" s="40">
        <v>205</v>
      </c>
      <c r="J602" s="40">
        <v>569</v>
      </c>
      <c r="K602" s="118"/>
      <c r="L602" s="119"/>
      <c r="M602" s="110">
        <f>IF(L602="",I602,(MIN(J602,(L602*1.6*J602))))</f>
        <v>205</v>
      </c>
      <c r="N602" s="111">
        <f>IF(M602=0,0,(M602/J602))</f>
        <v>0.36028119507908613</v>
      </c>
    </row>
    <row r="603" spans="2:14">
      <c r="B603" s="73">
        <v>127844</v>
      </c>
      <c r="C603" s="23" t="s">
        <v>1902</v>
      </c>
      <c r="D603" s="123">
        <f>SUMIF(B$3:B$3844,B603,M$3:M$3844)/(SUMIF(B$3:B$3844,B603,J$3:J$3844))</f>
        <v>0.6301097610551516</v>
      </c>
      <c r="E603" s="23">
        <v>16049339</v>
      </c>
      <c r="F603" s="46" t="s">
        <v>1953</v>
      </c>
      <c r="G603" s="23"/>
      <c r="H603" s="23"/>
      <c r="I603" s="41">
        <v>306</v>
      </c>
      <c r="J603" s="41">
        <v>830</v>
      </c>
      <c r="K603" s="118"/>
      <c r="L603" s="119"/>
      <c r="M603" s="110">
        <f>IF(L603="",I603,(MIN(J603,(L603*1.6*J603))))</f>
        <v>306</v>
      </c>
      <c r="N603" s="111">
        <f>IF(M603=0,0,(M603/J603))</f>
        <v>0.36867469879518072</v>
      </c>
    </row>
    <row r="604" spans="2:14">
      <c r="B604" s="72">
        <v>127844</v>
      </c>
      <c r="C604" s="47" t="s">
        <v>1902</v>
      </c>
      <c r="D604" s="123">
        <f>SUMIF(B$3:B$3844,B604,M$3:M$3844)/(SUMIF(B$3:B$3844,B604,J$3:J$3844))</f>
        <v>0.6301097610551516</v>
      </c>
      <c r="E604" s="47">
        <v>38388</v>
      </c>
      <c r="F604" s="48" t="s">
        <v>1954</v>
      </c>
      <c r="G604" s="47"/>
      <c r="H604" s="47"/>
      <c r="I604" s="40">
        <v>511</v>
      </c>
      <c r="J604" s="40">
        <v>529</v>
      </c>
      <c r="K604" s="118"/>
      <c r="L604" s="119"/>
      <c r="M604" s="110">
        <f>IF(L604="",I604,(MIN(J604,(L604*1.6*J604))))</f>
        <v>511</v>
      </c>
      <c r="N604" s="111">
        <f>IF(M604=0,0,(M604/J604))</f>
        <v>0.96597353497164462</v>
      </c>
    </row>
    <row r="605" spans="2:14">
      <c r="B605" s="73">
        <v>127844</v>
      </c>
      <c r="C605" s="23" t="s">
        <v>1902</v>
      </c>
      <c r="D605" s="123">
        <f>SUMIF(B$3:B$3844,B605,M$3:M$3844)/(SUMIF(B$3:B$3844,B605,J$3:J$3844))</f>
        <v>0.6301097610551516</v>
      </c>
      <c r="E605" s="23">
        <v>38370</v>
      </c>
      <c r="F605" s="46" t="s">
        <v>1955</v>
      </c>
      <c r="G605" s="23"/>
      <c r="H605" s="23"/>
      <c r="I605" s="41">
        <v>320</v>
      </c>
      <c r="J605" s="41">
        <v>845</v>
      </c>
      <c r="K605" s="118"/>
      <c r="L605" s="119"/>
      <c r="M605" s="110">
        <f>IF(L605="",I605,(MIN(J605,(L605*1.6*J605))))</f>
        <v>320</v>
      </c>
      <c r="N605" s="111">
        <f>IF(M605=0,0,(M605/J605))</f>
        <v>0.378698224852071</v>
      </c>
    </row>
    <row r="606" spans="2:14">
      <c r="B606" s="73">
        <v>127558</v>
      </c>
      <c r="C606" s="23" t="s">
        <v>265</v>
      </c>
      <c r="D606" s="123">
        <f>SUMIF(B$3:B$3844,B606,M$3:M$3844)/(SUMIF(B$3:B$3844,B606,J$3:J$3844))</f>
        <v>0.82485060787141973</v>
      </c>
      <c r="E606" s="23">
        <v>34788</v>
      </c>
      <c r="F606" s="46" t="str">
        <f>"CHALLENGE LEARNING CENTER"</f>
        <v>CHALLENGE LEARNING CENTER</v>
      </c>
      <c r="G606" s="23"/>
      <c r="H606" s="23"/>
      <c r="I606" s="41"/>
      <c r="J606" s="41">
        <v>101</v>
      </c>
      <c r="K606" s="20">
        <v>2014</v>
      </c>
      <c r="L606" s="20">
        <v>78.569999999999993</v>
      </c>
      <c r="M606" s="110">
        <f>IF(L606="",I606,(MIN(J606,(L606*1.6*J606))))</f>
        <v>101</v>
      </c>
      <c r="N606" s="111">
        <f>IF(M606=0,0,(M606/J606))</f>
        <v>1</v>
      </c>
    </row>
    <row r="607" spans="2:14">
      <c r="B607" s="72">
        <v>127558</v>
      </c>
      <c r="C607" s="47" t="s">
        <v>265</v>
      </c>
      <c r="D607" s="123">
        <f>SUMIF(B$3:B$3844,B607,M$3:M$3844)/(SUMIF(B$3:B$3844,B607,J$3:J$3844))</f>
        <v>0.82485060787141973</v>
      </c>
      <c r="E607" s="47">
        <v>34746</v>
      </c>
      <c r="F607" s="48" t="s">
        <v>266</v>
      </c>
      <c r="G607" s="47"/>
      <c r="H607" s="47"/>
      <c r="I607" s="40"/>
      <c r="J607" s="40">
        <v>632</v>
      </c>
      <c r="K607" s="20">
        <v>2015</v>
      </c>
      <c r="L607" s="20">
        <v>64.34</v>
      </c>
      <c r="M607" s="110">
        <f>IF(L607="",I607,(MIN(J607,(L607*1.6*J607))))</f>
        <v>632</v>
      </c>
      <c r="N607" s="111">
        <f>IF(M607=0,0,(M607/J607))</f>
        <v>1</v>
      </c>
    </row>
    <row r="608" spans="2:14">
      <c r="B608" s="73">
        <v>127558</v>
      </c>
      <c r="C608" s="23" t="s">
        <v>265</v>
      </c>
      <c r="D608" s="123">
        <f>SUMIF(B$3:B$3844,B608,M$3:M$3844)/(SUMIF(B$3:B$3844,B608,J$3:J$3844))</f>
        <v>0.82485060787141973</v>
      </c>
      <c r="E608" s="23">
        <v>16029971</v>
      </c>
      <c r="F608" s="46" t="str">
        <f>"COLUMBIA DISTRICT OFFICE"</f>
        <v>COLUMBIA DISTRICT OFFICE</v>
      </c>
      <c r="G608" s="23"/>
      <c r="H608" s="23"/>
      <c r="I608" s="41"/>
      <c r="J608" s="41">
        <v>0</v>
      </c>
      <c r="K608" s="20"/>
      <c r="L608" s="20"/>
      <c r="M608" s="110">
        <f>IF(L608="",I608,(MIN(J608,(L608*1.6*J608))))</f>
        <v>0</v>
      </c>
      <c r="N608" s="111">
        <f>IF(M608=0,0,(M608/J608))</f>
        <v>0</v>
      </c>
    </row>
    <row r="609" spans="2:14">
      <c r="B609" s="72">
        <v>127558</v>
      </c>
      <c r="C609" s="47" t="s">
        <v>265</v>
      </c>
      <c r="D609" s="123">
        <f>SUMIF(B$3:B$3844,B609,M$3:M$3844)/(SUMIF(B$3:B$3844,B609,J$3:J$3844))</f>
        <v>0.82485060787141973</v>
      </c>
      <c r="E609" s="47">
        <v>34753</v>
      </c>
      <c r="F609" s="48" t="s">
        <v>267</v>
      </c>
      <c r="G609" s="47"/>
      <c r="H609" s="47"/>
      <c r="I609" s="40">
        <v>1037</v>
      </c>
      <c r="J609" s="40">
        <v>1906</v>
      </c>
      <c r="K609" s="20"/>
      <c r="L609" s="20"/>
      <c r="M609" s="110">
        <f>IF(L609="",I609,(MIN(J609,(L609*1.6*J609))))</f>
        <v>1037</v>
      </c>
      <c r="N609" s="111">
        <f>IF(M609=0,0,(M609/J609))</f>
        <v>0.54407135362014691</v>
      </c>
    </row>
    <row r="610" spans="2:14">
      <c r="B610" s="73">
        <v>127558</v>
      </c>
      <c r="C610" s="23" t="s">
        <v>265</v>
      </c>
      <c r="D610" s="123">
        <f>SUMIF(B$3:B$3844,B610,M$3:M$3844)/(SUMIF(B$3:B$3844,B610,J$3:J$3844))</f>
        <v>0.82485060787141973</v>
      </c>
      <c r="E610" s="23">
        <v>34748</v>
      </c>
      <c r="F610" s="46" t="str">
        <f>"EASTSIDE ELEMENTARY SCHOOL"</f>
        <v>EASTSIDE ELEMENTARY SCHOOL</v>
      </c>
      <c r="G610" s="23"/>
      <c r="H610" s="23"/>
      <c r="I610" s="41"/>
      <c r="J610" s="41">
        <v>601</v>
      </c>
      <c r="K610" s="20">
        <v>2015</v>
      </c>
      <c r="L610" s="20">
        <v>64.34</v>
      </c>
      <c r="M610" s="110">
        <f>IF(L610="",I610,(MIN(J610,(L610*1.6*J610))))</f>
        <v>601</v>
      </c>
      <c r="N610" s="111">
        <f>IF(M610=0,0,(M610/J610))</f>
        <v>1</v>
      </c>
    </row>
    <row r="611" spans="2:14">
      <c r="B611" s="72">
        <v>127558</v>
      </c>
      <c r="C611" s="47" t="s">
        <v>265</v>
      </c>
      <c r="D611" s="123">
        <f>SUMIF(B$3:B$3844,B611,M$3:M$3844)/(SUMIF(B$3:B$3844,B611,J$3:J$3844))</f>
        <v>0.82485060787141973</v>
      </c>
      <c r="E611" s="47">
        <v>34790</v>
      </c>
      <c r="F611" s="48" t="str">
        <f>"FIVE POINTS ELEMENTARY SCHOOL"</f>
        <v>FIVE POINTS ELEMENTARY SCHOOL</v>
      </c>
      <c r="G611" s="47"/>
      <c r="H611" s="47"/>
      <c r="I611" s="40"/>
      <c r="J611" s="40">
        <v>416</v>
      </c>
      <c r="K611" s="20">
        <v>2015</v>
      </c>
      <c r="L611" s="20">
        <v>64.34</v>
      </c>
      <c r="M611" s="110">
        <f>IF(L611="",I611,(MIN(J611,(L611*1.6*J611))))</f>
        <v>416</v>
      </c>
      <c r="N611" s="111">
        <f>IF(M611=0,0,(M611/J611))</f>
        <v>1</v>
      </c>
    </row>
    <row r="612" spans="2:14">
      <c r="B612" s="73">
        <v>127558</v>
      </c>
      <c r="C612" s="23" t="s">
        <v>265</v>
      </c>
      <c r="D612" s="123">
        <f>SUMIF(B$3:B$3844,B612,M$3:M$3844)/(SUMIF(B$3:B$3844,B612,J$3:J$3844))</f>
        <v>0.82485060787141973</v>
      </c>
      <c r="E612" s="23">
        <v>34763</v>
      </c>
      <c r="F612" s="46" t="str">
        <f>"FORT WHITE ELEMENTARY SCHOOL"</f>
        <v>FORT WHITE ELEMENTARY SCHOOL</v>
      </c>
      <c r="G612" s="23"/>
      <c r="H612" s="23"/>
      <c r="I612" s="41"/>
      <c r="J612" s="41">
        <v>679</v>
      </c>
      <c r="K612" s="20">
        <v>2015</v>
      </c>
      <c r="L612" s="20">
        <v>64.34</v>
      </c>
      <c r="M612" s="110">
        <f>IF(L612="",I612,(MIN(J612,(L612*1.6*J612))))</f>
        <v>679</v>
      </c>
      <c r="N612" s="111">
        <f>IF(M612=0,0,(M612/J612))</f>
        <v>1</v>
      </c>
    </row>
    <row r="613" spans="2:14">
      <c r="B613" s="72">
        <v>127558</v>
      </c>
      <c r="C613" s="47" t="s">
        <v>265</v>
      </c>
      <c r="D613" s="123">
        <f>SUMIF(B$3:B$3844,B613,M$3:M$3844)/(SUMIF(B$3:B$3844,B613,J$3:J$3844))</f>
        <v>0.82485060787141973</v>
      </c>
      <c r="E613" s="47">
        <v>204016</v>
      </c>
      <c r="F613" s="48" t="str">
        <f>"FORT WHITE HIGH SCHOOL"</f>
        <v>FORT WHITE HIGH SCHOOL</v>
      </c>
      <c r="G613" s="47"/>
      <c r="H613" s="47"/>
      <c r="I613" s="40">
        <v>720</v>
      </c>
      <c r="J613" s="40">
        <v>1131</v>
      </c>
      <c r="K613" s="20"/>
      <c r="L613" s="20"/>
      <c r="M613" s="110">
        <f>IF(L613="",I613,(MIN(J613,(L613*1.6*J613))))</f>
        <v>720</v>
      </c>
      <c r="N613" s="111">
        <f>IF(M613=0,0,(M613/J613))</f>
        <v>0.63660477453580899</v>
      </c>
    </row>
    <row r="614" spans="2:14">
      <c r="B614" s="73">
        <v>127558</v>
      </c>
      <c r="C614" s="23" t="s">
        <v>265</v>
      </c>
      <c r="D614" s="123">
        <f>SUMIF(B$3:B$3844,B614,M$3:M$3844)/(SUMIF(B$3:B$3844,B614,J$3:J$3844))</f>
        <v>0.82485060787141973</v>
      </c>
      <c r="E614" s="23">
        <v>34752</v>
      </c>
      <c r="F614" s="46" t="str">
        <f>"LAKE CITY MIDDLE SCHOOL"</f>
        <v>LAKE CITY MIDDLE SCHOOL</v>
      </c>
      <c r="G614" s="23"/>
      <c r="H614" s="23"/>
      <c r="I614" s="41">
        <v>608</v>
      </c>
      <c r="J614" s="41">
        <v>1028</v>
      </c>
      <c r="K614" s="20"/>
      <c r="L614" s="20"/>
      <c r="M614" s="110">
        <f>IF(L614="",I614,(MIN(J614,(L614*1.6*J614))))</f>
        <v>608</v>
      </c>
      <c r="N614" s="111">
        <f>IF(M614=0,0,(M614/J614))</f>
        <v>0.59143968871595332</v>
      </c>
    </row>
    <row r="615" spans="2:14">
      <c r="B615" s="72">
        <v>127558</v>
      </c>
      <c r="C615" s="47" t="s">
        <v>265</v>
      </c>
      <c r="D615" s="123">
        <f>SUMIF(B$3:B$3844,B615,M$3:M$3844)/(SUMIF(B$3:B$3844,B615,J$3:J$3844))</f>
        <v>0.82485060787141973</v>
      </c>
      <c r="E615" s="47">
        <v>34749</v>
      </c>
      <c r="F615" s="48" t="str">
        <f>"MELROSE PARK ELEMENTARY SCHOOL"</f>
        <v>MELROSE PARK ELEMENTARY SCHOOL</v>
      </c>
      <c r="G615" s="47"/>
      <c r="H615" s="47"/>
      <c r="I615" s="40"/>
      <c r="J615" s="40">
        <v>467</v>
      </c>
      <c r="K615" s="20">
        <v>2015</v>
      </c>
      <c r="L615" s="20">
        <v>64.34</v>
      </c>
      <c r="M615" s="110">
        <f>IF(L615="",I615,(MIN(J615,(L615*1.6*J615))))</f>
        <v>467</v>
      </c>
      <c r="N615" s="111">
        <f>IF(M615=0,0,(M615/J615))</f>
        <v>1</v>
      </c>
    </row>
    <row r="616" spans="2:14">
      <c r="B616" s="73">
        <v>127558</v>
      </c>
      <c r="C616" s="23" t="s">
        <v>265</v>
      </c>
      <c r="D616" s="123">
        <f>SUMIF(B$3:B$3844,B616,M$3:M$3844)/(SUMIF(B$3:B$3844,B616,J$3:J$3844))</f>
        <v>0.82485060787141973</v>
      </c>
      <c r="E616" s="23">
        <v>34787</v>
      </c>
      <c r="F616" s="46" t="str">
        <f>"NIBLACK ELEMENTARY SCHOOL"</f>
        <v>NIBLACK ELEMENTARY SCHOOL</v>
      </c>
      <c r="G616" s="23"/>
      <c r="H616" s="23"/>
      <c r="I616" s="41"/>
      <c r="J616" s="41">
        <v>255</v>
      </c>
      <c r="K616" s="20">
        <v>2015</v>
      </c>
      <c r="L616" s="20">
        <v>64.34</v>
      </c>
      <c r="M616" s="110">
        <f>IF(L616="",I616,(MIN(J616,(L616*1.6*J616))))</f>
        <v>255</v>
      </c>
      <c r="N616" s="111">
        <f>IF(M616=0,0,(M616/J616))</f>
        <v>1</v>
      </c>
    </row>
    <row r="617" spans="2:14">
      <c r="B617" s="72">
        <v>127558</v>
      </c>
      <c r="C617" s="47" t="s">
        <v>265</v>
      </c>
      <c r="D617" s="123">
        <f>SUMIF(B$3:B$3844,B617,M$3:M$3844)/(SUMIF(B$3:B$3844,B617,J$3:J$3844))</f>
        <v>0.82485060787141973</v>
      </c>
      <c r="E617" s="47">
        <v>16050085</v>
      </c>
      <c r="F617" s="48" t="str">
        <f>"PINEMOUNT ELEMENTARY SCHOOL"</f>
        <v>PINEMOUNT ELEMENTARY SCHOOL</v>
      </c>
      <c r="G617" s="47"/>
      <c r="H617" s="47"/>
      <c r="I617" s="40"/>
      <c r="J617" s="40">
        <v>507</v>
      </c>
      <c r="K617" s="20">
        <v>2015</v>
      </c>
      <c r="L617" s="20">
        <v>64.34</v>
      </c>
      <c r="M617" s="110">
        <f>IF(L617="",I617,(MIN(J617,(L617*1.6*J617))))</f>
        <v>507</v>
      </c>
      <c r="N617" s="111">
        <f>IF(M617=0,0,(M617/J617))</f>
        <v>1</v>
      </c>
    </row>
    <row r="618" spans="2:14">
      <c r="B618" s="73">
        <v>127558</v>
      </c>
      <c r="C618" s="23" t="s">
        <v>265</v>
      </c>
      <c r="D618" s="123">
        <f>SUMIF(B$3:B$3844,B618,M$3:M$3844)/(SUMIF(B$3:B$3844,B618,J$3:J$3844))</f>
        <v>0.82485060787141973</v>
      </c>
      <c r="E618" s="23">
        <v>34750</v>
      </c>
      <c r="F618" s="46" t="str">
        <f>"RICHARDSON MIDDLE SCHOOL"</f>
        <v>RICHARDSON MIDDLE SCHOOL</v>
      </c>
      <c r="G618" s="23"/>
      <c r="H618" s="23"/>
      <c r="I618" s="41"/>
      <c r="J618" s="41">
        <v>569</v>
      </c>
      <c r="K618" s="20">
        <v>2015</v>
      </c>
      <c r="L618" s="20">
        <v>67.59</v>
      </c>
      <c r="M618" s="110">
        <f>IF(L618="",I618,(MIN(J618,(L618*1.6*J618))))</f>
        <v>569</v>
      </c>
      <c r="N618" s="111">
        <f>IF(M618=0,0,(M618/J618))</f>
        <v>1</v>
      </c>
    </row>
    <row r="619" spans="2:14">
      <c r="B619" s="72">
        <v>127558</v>
      </c>
      <c r="C619" s="47" t="s">
        <v>265</v>
      </c>
      <c r="D619" s="123">
        <f>SUMIF(B$3:B$3844,B619,M$3:M$3844)/(SUMIF(B$3:B$3844,B619,J$3:J$3844))</f>
        <v>0.82485060787141973</v>
      </c>
      <c r="E619" s="47">
        <v>34751</v>
      </c>
      <c r="F619" s="48" t="str">
        <f>"SUMMERS ELEMENTARY SCHOOL"</f>
        <v>SUMMERS ELEMENTARY SCHOOL</v>
      </c>
      <c r="G619" s="47"/>
      <c r="H619" s="47"/>
      <c r="I619" s="40"/>
      <c r="J619" s="40">
        <v>664</v>
      </c>
      <c r="K619" s="20">
        <v>2015</v>
      </c>
      <c r="L619" s="20">
        <v>64.34</v>
      </c>
      <c r="M619" s="110">
        <f>IF(L619="",I619,(MIN(J619,(L619*1.6*J619))))</f>
        <v>664</v>
      </c>
      <c r="N619" s="111">
        <f>IF(M619=0,0,(M619/J619))</f>
        <v>1</v>
      </c>
    </row>
    <row r="620" spans="2:14">
      <c r="B620" s="73">
        <v>127558</v>
      </c>
      <c r="C620" s="23" t="s">
        <v>265</v>
      </c>
      <c r="D620" s="123">
        <f>SUMIF(B$3:B$3844,B620,M$3:M$3844)/(SUMIF(B$3:B$3844,B620,J$3:J$3844))</f>
        <v>0.82485060787141973</v>
      </c>
      <c r="E620" s="23">
        <v>221829</v>
      </c>
      <c r="F620" s="46" t="str">
        <f>"WESTSIDE ELEMENTARY SCHOOL"</f>
        <v>WESTSIDE ELEMENTARY SCHOOL</v>
      </c>
      <c r="G620" s="23"/>
      <c r="H620" s="23"/>
      <c r="I620" s="41"/>
      <c r="J620" s="41">
        <v>750</v>
      </c>
      <c r="K620" s="20">
        <v>2015</v>
      </c>
      <c r="L620" s="20">
        <v>64.34</v>
      </c>
      <c r="M620" s="110">
        <f>IF(L620="",I620,(MIN(J620,(L620*1.6*J620))))</f>
        <v>750</v>
      </c>
      <c r="N620" s="111">
        <f>IF(M620=0,0,(M620/J620))</f>
        <v>1</v>
      </c>
    </row>
    <row r="621" spans="2:14" ht="30">
      <c r="B621" s="73">
        <v>127722</v>
      </c>
      <c r="C621" s="23" t="s">
        <v>268</v>
      </c>
      <c r="D621" s="123">
        <f>SUMIF(B$3:B$3844,B621,M$3:M$3844)/(SUMIF(B$3:B$3844,B621,J$3:J$3844))</f>
        <v>0.76143103246416566</v>
      </c>
      <c r="E621" s="23">
        <v>36454</v>
      </c>
      <c r="F621" s="46" t="s">
        <v>269</v>
      </c>
      <c r="G621" s="23"/>
      <c r="H621" s="23"/>
      <c r="I621" s="41">
        <v>656</v>
      </c>
      <c r="J621" s="41">
        <v>1052</v>
      </c>
      <c r="K621" s="118"/>
      <c r="L621" s="119"/>
      <c r="M621" s="110">
        <f>IF(L621="",I621,(MIN(J621,(L621*1.6*J621))))</f>
        <v>656</v>
      </c>
      <c r="N621" s="111">
        <f>IF(M621=0,0,(M621/J621))</f>
        <v>0.62357414448669202</v>
      </c>
    </row>
    <row r="622" spans="2:14">
      <c r="B622" s="72">
        <v>127722</v>
      </c>
      <c r="C622" s="47" t="s">
        <v>268</v>
      </c>
      <c r="D622" s="123">
        <f>SUMIF(B$3:B$3844,B622,M$3:M$3844)/(SUMIF(B$3:B$3844,B622,J$3:J$3844))</f>
        <v>0.76143103246416566</v>
      </c>
      <c r="E622" s="47">
        <v>227184</v>
      </c>
      <c r="F622" s="48" t="s">
        <v>270</v>
      </c>
      <c r="G622" s="47"/>
      <c r="H622" s="47"/>
      <c r="I622" s="40">
        <v>689</v>
      </c>
      <c r="J622" s="40">
        <v>1709</v>
      </c>
      <c r="K622" s="118"/>
      <c r="L622" s="119"/>
      <c r="M622" s="110">
        <f>IF(L622="",I622,(MIN(J622,(L622*1.6*J622))))</f>
        <v>689</v>
      </c>
      <c r="N622" s="111">
        <f>IF(M622=0,0,(M622/J622))</f>
        <v>0.40315974253949677</v>
      </c>
    </row>
    <row r="623" spans="2:14">
      <c r="B623" s="73">
        <v>127722</v>
      </c>
      <c r="C623" s="23" t="s">
        <v>268</v>
      </c>
      <c r="D623" s="123">
        <f>SUMIF(B$3:B$3844,B623,M$3:M$3844)/(SUMIF(B$3:B$3844,B623,J$3:J$3844))</f>
        <v>0.76143103246416566</v>
      </c>
      <c r="E623" s="23">
        <v>16036321</v>
      </c>
      <c r="F623" s="46" t="s">
        <v>271</v>
      </c>
      <c r="G623" s="23"/>
      <c r="H623" s="23"/>
      <c r="I623" s="41">
        <v>952</v>
      </c>
      <c r="J623" s="41">
        <v>1028</v>
      </c>
      <c r="K623" s="118"/>
      <c r="L623" s="119"/>
      <c r="M623" s="110">
        <f>IF(L623="",I623,(MIN(J623,(L623*1.6*J623))))</f>
        <v>952</v>
      </c>
      <c r="N623" s="111">
        <f>IF(M623=0,0,(M623/J623))</f>
        <v>0.92607003891050588</v>
      </c>
    </row>
    <row r="624" spans="2:14">
      <c r="B624" s="72">
        <v>127722</v>
      </c>
      <c r="C624" s="47" t="s">
        <v>268</v>
      </c>
      <c r="D624" s="123">
        <f>SUMIF(B$3:B$3844,B624,M$3:M$3844)/(SUMIF(B$3:B$3844,B624,J$3:J$3844))</f>
        <v>0.76143103246416566</v>
      </c>
      <c r="E624" s="47">
        <v>36633</v>
      </c>
      <c r="F624" s="48" t="s">
        <v>272</v>
      </c>
      <c r="G624" s="47"/>
      <c r="H624" s="47"/>
      <c r="I624" s="40">
        <v>398</v>
      </c>
      <c r="J624" s="40">
        <v>407</v>
      </c>
      <c r="K624" s="118"/>
      <c r="L624" s="119"/>
      <c r="M624" s="110">
        <f>IF(L624="",I624,(MIN(J624,(L624*1.6*J624))))</f>
        <v>398</v>
      </c>
      <c r="N624" s="111">
        <f>IF(M624=0,0,(M624/J624))</f>
        <v>0.97788697788697787</v>
      </c>
    </row>
    <row r="625" spans="2:14">
      <c r="B625" s="73">
        <v>127722</v>
      </c>
      <c r="C625" s="23" t="s">
        <v>268</v>
      </c>
      <c r="D625" s="123">
        <f>SUMIF(B$3:B$3844,B625,M$3:M$3844)/(SUMIF(B$3:B$3844,B625,J$3:J$3844))</f>
        <v>0.76143103246416566</v>
      </c>
      <c r="E625" s="23">
        <v>231493</v>
      </c>
      <c r="F625" s="46" t="s">
        <v>273</v>
      </c>
      <c r="G625" s="23"/>
      <c r="H625" s="23"/>
      <c r="I625" s="41">
        <v>981</v>
      </c>
      <c r="J625" s="41">
        <v>1773</v>
      </c>
      <c r="K625" s="118"/>
      <c r="L625" s="119"/>
      <c r="M625" s="110">
        <f>IF(L625="",I625,(MIN(J625,(L625*1.6*J625))))</f>
        <v>981</v>
      </c>
      <c r="N625" s="111">
        <f>IF(M625=0,0,(M625/J625))</f>
        <v>0.5532994923857868</v>
      </c>
    </row>
    <row r="626" spans="2:14">
      <c r="B626" s="72">
        <v>127722</v>
      </c>
      <c r="C626" s="47" t="s">
        <v>268</v>
      </c>
      <c r="D626" s="123">
        <f>SUMIF(B$3:B$3844,B626,M$3:M$3844)/(SUMIF(B$3:B$3844,B626,J$3:J$3844))</f>
        <v>0.76143103246416566</v>
      </c>
      <c r="E626" s="47">
        <v>16049158</v>
      </c>
      <c r="F626" s="48" t="s">
        <v>274</v>
      </c>
      <c r="G626" s="47"/>
      <c r="H626" s="47"/>
      <c r="I626" s="40">
        <v>953</v>
      </c>
      <c r="J626" s="40">
        <v>2136</v>
      </c>
      <c r="K626" s="118"/>
      <c r="L626" s="119"/>
      <c r="M626" s="110">
        <f>IF(L626="",I626,(MIN(J626,(L626*1.6*J626))))</f>
        <v>953</v>
      </c>
      <c r="N626" s="111">
        <f>IF(M626=0,0,(M626/J626))</f>
        <v>0.44616104868913858</v>
      </c>
    </row>
    <row r="627" spans="2:14">
      <c r="B627" s="73">
        <v>127722</v>
      </c>
      <c r="C627" s="23" t="s">
        <v>268</v>
      </c>
      <c r="D627" s="123">
        <f>SUMIF(B$3:B$3844,B627,M$3:M$3844)/(SUMIF(B$3:B$3844,B627,J$3:J$3844))</f>
        <v>0.76143103246416566</v>
      </c>
      <c r="E627" s="23">
        <v>36813</v>
      </c>
      <c r="F627" s="46" t="s">
        <v>275</v>
      </c>
      <c r="G627" s="23"/>
      <c r="H627" s="23"/>
      <c r="I627" s="41">
        <v>522</v>
      </c>
      <c r="J627" s="41">
        <v>546</v>
      </c>
      <c r="K627" s="118"/>
      <c r="L627" s="119"/>
      <c r="M627" s="110">
        <f>IF(L627="",I627,(MIN(J627,(L627*1.6*J627))))</f>
        <v>522</v>
      </c>
      <c r="N627" s="111">
        <f>IF(M627=0,0,(M627/J627))</f>
        <v>0.95604395604395609</v>
      </c>
    </row>
    <row r="628" spans="2:14">
      <c r="B628" s="72">
        <v>127722</v>
      </c>
      <c r="C628" s="47" t="s">
        <v>268</v>
      </c>
      <c r="D628" s="123">
        <f>SUMIF(B$3:B$3844,B628,M$3:M$3844)/(SUMIF(B$3:B$3844,B628,J$3:J$3844))</f>
        <v>0.76143103246416566</v>
      </c>
      <c r="E628" s="47">
        <v>36755</v>
      </c>
      <c r="F628" s="48" t="s">
        <v>276</v>
      </c>
      <c r="G628" s="47"/>
      <c r="H628" s="47"/>
      <c r="I628" s="40">
        <v>754</v>
      </c>
      <c r="J628" s="40">
        <v>759</v>
      </c>
      <c r="K628" s="118"/>
      <c r="L628" s="119"/>
      <c r="M628" s="110">
        <f>IF(L628="",I628,(MIN(J628,(L628*1.6*J628))))</f>
        <v>754</v>
      </c>
      <c r="N628" s="111">
        <f>IF(M628=0,0,(M628/J628))</f>
        <v>0.99341238471673254</v>
      </c>
    </row>
    <row r="629" spans="2:14">
      <c r="B629" s="73">
        <v>127722</v>
      </c>
      <c r="C629" s="23" t="s">
        <v>268</v>
      </c>
      <c r="D629" s="123">
        <f>SUMIF(B$3:B$3844,B629,M$3:M$3844)/(SUMIF(B$3:B$3844,B629,J$3:J$3844))</f>
        <v>0.76143103246416566</v>
      </c>
      <c r="E629" s="23">
        <v>36682</v>
      </c>
      <c r="F629" s="46" t="s">
        <v>277</v>
      </c>
      <c r="G629" s="23"/>
      <c r="H629" s="23"/>
      <c r="I629" s="41">
        <v>792</v>
      </c>
      <c r="J629" s="41">
        <v>880</v>
      </c>
      <c r="K629" s="118"/>
      <c r="L629" s="119"/>
      <c r="M629" s="110">
        <f>IF(L629="",I629,(MIN(J629,(L629*1.6*J629))))</f>
        <v>792</v>
      </c>
      <c r="N629" s="111">
        <f>IF(M629=0,0,(M629/J629))</f>
        <v>0.9</v>
      </c>
    </row>
    <row r="630" spans="2:14">
      <c r="B630" s="72">
        <v>127722</v>
      </c>
      <c r="C630" s="47" t="s">
        <v>268</v>
      </c>
      <c r="D630" s="123">
        <f>SUMIF(B$3:B$3844,B630,M$3:M$3844)/(SUMIF(B$3:B$3844,B630,J$3:J$3844))</f>
        <v>0.76143103246416566</v>
      </c>
      <c r="E630" s="47">
        <v>16049160</v>
      </c>
      <c r="F630" s="48" t="s">
        <v>278</v>
      </c>
      <c r="G630" s="47"/>
      <c r="H630" s="47"/>
      <c r="I630" s="40">
        <v>663</v>
      </c>
      <c r="J630" s="40" t="s">
        <v>279</v>
      </c>
      <c r="K630" s="118"/>
      <c r="L630" s="119"/>
      <c r="M630" s="110">
        <f>IF(L630="",I630,(MIN(J630,(L630*1.6*J630))))</f>
        <v>663</v>
      </c>
      <c r="N630" s="111" t="e">
        <f>IF(M630=0,0,(M630/J630))</f>
        <v>#VALUE!</v>
      </c>
    </row>
    <row r="631" spans="2:14">
      <c r="B631" s="73">
        <v>127722</v>
      </c>
      <c r="C631" s="23" t="s">
        <v>268</v>
      </c>
      <c r="D631" s="123">
        <f>SUMIF(B$3:B$3844,B631,M$3:M$3844)/(SUMIF(B$3:B$3844,B631,J$3:J$3844))</f>
        <v>0.76143103246416566</v>
      </c>
      <c r="E631" s="23">
        <v>16036316</v>
      </c>
      <c r="F631" s="46" t="s">
        <v>280</v>
      </c>
      <c r="G631" s="23"/>
      <c r="H631" s="23"/>
      <c r="I631" s="41">
        <v>792</v>
      </c>
      <c r="J631" s="41">
        <v>1180</v>
      </c>
      <c r="K631" s="118"/>
      <c r="L631" s="119"/>
      <c r="M631" s="110">
        <f>IF(L631="",I631,(MIN(J631,(L631*1.6*J631))))</f>
        <v>792</v>
      </c>
      <c r="N631" s="111">
        <f>IF(M631=0,0,(M631/J631))</f>
        <v>0.67118644067796607</v>
      </c>
    </row>
    <row r="632" spans="2:14">
      <c r="B632" s="72">
        <v>127722</v>
      </c>
      <c r="C632" s="47" t="s">
        <v>268</v>
      </c>
      <c r="D632" s="123">
        <f>SUMIF(B$3:B$3844,B632,M$3:M$3844)/(SUMIF(B$3:B$3844,B632,J$3:J$3844))</f>
        <v>0.76143103246416566</v>
      </c>
      <c r="E632" s="47">
        <v>36438</v>
      </c>
      <c r="F632" s="48" t="s">
        <v>281</v>
      </c>
      <c r="G632" s="47"/>
      <c r="H632" s="47"/>
      <c r="I632" s="40">
        <v>386</v>
      </c>
      <c r="J632" s="40">
        <v>417</v>
      </c>
      <c r="K632" s="118"/>
      <c r="L632" s="119"/>
      <c r="M632" s="110">
        <f>IF(L632="",I632,(MIN(J632,(L632*1.6*J632))))</f>
        <v>386</v>
      </c>
      <c r="N632" s="111">
        <f>IF(M632=0,0,(M632/J632))</f>
        <v>0.92565947242206237</v>
      </c>
    </row>
    <row r="633" spans="2:14">
      <c r="B633" s="73">
        <v>127722</v>
      </c>
      <c r="C633" s="23" t="s">
        <v>268</v>
      </c>
      <c r="D633" s="123">
        <f>SUMIF(B$3:B$3844,B633,M$3:M$3844)/(SUMIF(B$3:B$3844,B633,J$3:J$3844))</f>
        <v>0.76143103246416566</v>
      </c>
      <c r="E633" s="23">
        <v>36832</v>
      </c>
      <c r="F633" s="46" t="s">
        <v>14</v>
      </c>
      <c r="G633" s="23"/>
      <c r="H633" s="23"/>
      <c r="I633" s="41">
        <v>296</v>
      </c>
      <c r="J633" s="41">
        <v>365</v>
      </c>
      <c r="K633" s="118"/>
      <c r="L633" s="119"/>
      <c r="M633" s="110">
        <f>IF(L633="",I633,(MIN(J633,(L633*1.6*J633))))</f>
        <v>296</v>
      </c>
      <c r="N633" s="111">
        <f>IF(M633=0,0,(M633/J633))</f>
        <v>0.81095890410958904</v>
      </c>
    </row>
    <row r="634" spans="2:14">
      <c r="B634" s="72">
        <v>127722</v>
      </c>
      <c r="C634" s="47" t="s">
        <v>268</v>
      </c>
      <c r="D634" s="123">
        <f>SUMIF(B$3:B$3844,B634,M$3:M$3844)/(SUMIF(B$3:B$3844,B634,J$3:J$3844))</f>
        <v>0.76143103246416566</v>
      </c>
      <c r="E634" s="47">
        <v>16049161</v>
      </c>
      <c r="F634" s="48" t="s">
        <v>282</v>
      </c>
      <c r="G634" s="47"/>
      <c r="H634" s="47"/>
      <c r="I634" s="40">
        <v>550</v>
      </c>
      <c r="J634" s="40">
        <v>794</v>
      </c>
      <c r="K634" s="118"/>
      <c r="L634" s="119"/>
      <c r="M634" s="110">
        <f>IF(L634="",I634,(MIN(J634,(L634*1.6*J634))))</f>
        <v>550</v>
      </c>
      <c r="N634" s="111">
        <f>IF(M634=0,0,(M634/J634))</f>
        <v>0.69269521410579349</v>
      </c>
    </row>
    <row r="635" spans="2:14">
      <c r="B635" s="73">
        <v>127722</v>
      </c>
      <c r="C635" s="23" t="s">
        <v>268</v>
      </c>
      <c r="D635" s="123">
        <f>SUMIF(B$3:B$3844,B635,M$3:M$3844)/(SUMIF(B$3:B$3844,B635,J$3:J$3844))</f>
        <v>0.76143103246416566</v>
      </c>
      <c r="E635" s="23">
        <v>16036315</v>
      </c>
      <c r="F635" s="46" t="s">
        <v>283</v>
      </c>
      <c r="G635" s="23"/>
      <c r="H635" s="23"/>
      <c r="I635" s="41">
        <v>883</v>
      </c>
      <c r="J635" s="41">
        <v>1999</v>
      </c>
      <c r="K635" s="118"/>
      <c r="L635" s="119"/>
      <c r="M635" s="110">
        <f>IF(L635="",I635,(MIN(J635,(L635*1.6*J635))))</f>
        <v>883</v>
      </c>
      <c r="N635" s="111">
        <f>IF(M635=0,0,(M635/J635))</f>
        <v>0.44172086043021513</v>
      </c>
    </row>
    <row r="636" spans="2:14">
      <c r="B636" s="72">
        <v>127722</v>
      </c>
      <c r="C636" s="47" t="s">
        <v>268</v>
      </c>
      <c r="D636" s="123">
        <f>SUMIF(B$3:B$3844,B636,M$3:M$3844)/(SUMIF(B$3:B$3844,B636,J$3:J$3844))</f>
        <v>0.76143103246416566</v>
      </c>
      <c r="E636" s="47">
        <v>36825</v>
      </c>
      <c r="F636" s="48" t="s">
        <v>284</v>
      </c>
      <c r="G636" s="47"/>
      <c r="H636" s="47"/>
      <c r="I636" s="40">
        <v>505</v>
      </c>
      <c r="J636" s="40">
        <v>1323</v>
      </c>
      <c r="K636" s="118"/>
      <c r="L636" s="119"/>
      <c r="M636" s="110">
        <f>IF(L636="",I636,(MIN(J636,(L636*1.6*J636))))</f>
        <v>505</v>
      </c>
      <c r="N636" s="111">
        <f>IF(M636=0,0,(M636/J636))</f>
        <v>0.381708238851096</v>
      </c>
    </row>
    <row r="637" spans="2:14">
      <c r="B637" s="73">
        <v>127722</v>
      </c>
      <c r="C637" s="23" t="s">
        <v>268</v>
      </c>
      <c r="D637" s="123">
        <f>SUMIF(B$3:B$3844,B637,M$3:M$3844)/(SUMIF(B$3:B$3844,B637,J$3:J$3844))</f>
        <v>0.76143103246416566</v>
      </c>
      <c r="E637" s="23">
        <v>36992</v>
      </c>
      <c r="F637" s="46" t="s">
        <v>285</v>
      </c>
      <c r="G637" s="23"/>
      <c r="H637" s="23"/>
      <c r="I637" s="41">
        <v>576</v>
      </c>
      <c r="J637" s="41">
        <v>817</v>
      </c>
      <c r="K637" s="118"/>
      <c r="L637" s="119"/>
      <c r="M637" s="110">
        <f>IF(L637="",I637,(MIN(J637,(L637*1.6*J637))))</f>
        <v>576</v>
      </c>
      <c r="N637" s="111">
        <f>IF(M637=0,0,(M637/J637))</f>
        <v>0.70501835985312122</v>
      </c>
    </row>
    <row r="638" spans="2:14">
      <c r="B638" s="72">
        <v>127722</v>
      </c>
      <c r="C638" s="47" t="s">
        <v>268</v>
      </c>
      <c r="D638" s="123">
        <f>SUMIF(B$3:B$3844,B638,M$3:M$3844)/(SUMIF(B$3:B$3844,B638,J$3:J$3844))</f>
        <v>0.76143103246416566</v>
      </c>
      <c r="E638" s="47">
        <v>36876</v>
      </c>
      <c r="F638" s="48" t="s">
        <v>286</v>
      </c>
      <c r="G638" s="47"/>
      <c r="H638" s="47"/>
      <c r="I638" s="40">
        <v>396</v>
      </c>
      <c r="J638" s="40">
        <v>406</v>
      </c>
      <c r="K638" s="118"/>
      <c r="L638" s="119"/>
      <c r="M638" s="110">
        <f>IF(L638="",I638,(MIN(J638,(L638*1.6*J638))))</f>
        <v>396</v>
      </c>
      <c r="N638" s="111">
        <f>IF(M638=0,0,(M638/J638))</f>
        <v>0.97536945812807885</v>
      </c>
    </row>
    <row r="639" spans="2:14">
      <c r="B639" s="73">
        <v>127722</v>
      </c>
      <c r="C639" s="23" t="s">
        <v>268</v>
      </c>
      <c r="D639" s="123">
        <f>SUMIF(B$3:B$3844,B639,M$3:M$3844)/(SUMIF(B$3:B$3844,B639,J$3:J$3844))</f>
        <v>0.76143103246416566</v>
      </c>
      <c r="E639" s="23">
        <v>36991</v>
      </c>
      <c r="F639" s="46" t="s">
        <v>287</v>
      </c>
      <c r="G639" s="23"/>
      <c r="H639" s="23"/>
      <c r="I639" s="41">
        <v>406</v>
      </c>
      <c r="J639" s="41">
        <v>522</v>
      </c>
      <c r="K639" s="118"/>
      <c r="L639" s="119"/>
      <c r="M639" s="110">
        <f>IF(L639="",I639,(MIN(J639,(L639*1.6*J639))))</f>
        <v>406</v>
      </c>
      <c r="N639" s="111">
        <f>IF(M639=0,0,(M639/J639))</f>
        <v>0.77777777777777779</v>
      </c>
    </row>
    <row r="640" spans="2:14">
      <c r="B640" s="72">
        <v>127722</v>
      </c>
      <c r="C640" s="47" t="s">
        <v>268</v>
      </c>
      <c r="D640" s="123">
        <f>SUMIF(B$3:B$3844,B640,M$3:M$3844)/(SUMIF(B$3:B$3844,B640,J$3:J$3844))</f>
        <v>0.76143103246416566</v>
      </c>
      <c r="E640" s="47">
        <v>16036314</v>
      </c>
      <c r="F640" s="48" t="s">
        <v>288</v>
      </c>
      <c r="G640" s="47"/>
      <c r="H640" s="47"/>
      <c r="I640" s="40">
        <v>602</v>
      </c>
      <c r="J640" s="40">
        <v>642</v>
      </c>
      <c r="K640" s="118"/>
      <c r="L640" s="119"/>
      <c r="M640" s="110">
        <f>IF(L640="",I640,(MIN(J640,(L640*1.6*J640))))</f>
        <v>602</v>
      </c>
      <c r="N640" s="111">
        <f>IF(M640=0,0,(M640/J640))</f>
        <v>0.93769470404984423</v>
      </c>
    </row>
    <row r="641" spans="2:14">
      <c r="B641" s="73">
        <v>127722</v>
      </c>
      <c r="C641" s="23" t="s">
        <v>268</v>
      </c>
      <c r="D641" s="123">
        <f>SUMIF(B$3:B$3844,B641,M$3:M$3844)/(SUMIF(B$3:B$3844,B641,J$3:J$3844))</f>
        <v>0.76143103246416566</v>
      </c>
      <c r="E641" s="23">
        <v>36728</v>
      </c>
      <c r="F641" s="46" t="s">
        <v>289</v>
      </c>
      <c r="G641" s="23"/>
      <c r="H641" s="23"/>
      <c r="I641" s="41">
        <v>656</v>
      </c>
      <c r="J641" s="41">
        <v>740</v>
      </c>
      <c r="K641" s="118"/>
      <c r="L641" s="119"/>
      <c r="M641" s="110">
        <f>IF(L641="",I641,(MIN(J641,(L641*1.6*J641))))</f>
        <v>656</v>
      </c>
      <c r="N641" s="111">
        <f>IF(M641=0,0,(M641/J641))</f>
        <v>0.88648648648648654</v>
      </c>
    </row>
    <row r="642" spans="2:14" ht="30">
      <c r="B642" s="72">
        <v>127722</v>
      </c>
      <c r="C642" s="47" t="s">
        <v>268</v>
      </c>
      <c r="D642" s="123">
        <f>SUMIF(B$3:B$3844,B642,M$3:M$3844)/(SUMIF(B$3:B$3844,B642,J$3:J$3844))</f>
        <v>0.76143103246416566</v>
      </c>
      <c r="E642" s="47">
        <v>16070970</v>
      </c>
      <c r="F642" s="48" t="s">
        <v>290</v>
      </c>
      <c r="G642" s="47"/>
      <c r="H642" s="47"/>
      <c r="I642" s="40">
        <v>44</v>
      </c>
      <c r="J642" s="40">
        <v>44</v>
      </c>
      <c r="K642" s="118"/>
      <c r="L642" s="119"/>
      <c r="M642" s="110">
        <f>IF(L642="",I642,(MIN(J642,(L642*1.6*J642))))</f>
        <v>44</v>
      </c>
      <c r="N642" s="111">
        <f>IF(M642=0,0,(M642/J642))</f>
        <v>1</v>
      </c>
    </row>
    <row r="643" spans="2:14">
      <c r="B643" s="73">
        <v>127722</v>
      </c>
      <c r="C643" s="23" t="s">
        <v>268</v>
      </c>
      <c r="D643" s="123">
        <f>SUMIF(B$3:B$3844,B643,M$3:M$3844)/(SUMIF(B$3:B$3844,B643,J$3:J$3844))</f>
        <v>0.76143103246416566</v>
      </c>
      <c r="E643" s="23">
        <v>16049159</v>
      </c>
      <c r="F643" s="46" t="s">
        <v>291</v>
      </c>
      <c r="G643" s="23"/>
      <c r="H643" s="23"/>
      <c r="I643" s="41">
        <v>527</v>
      </c>
      <c r="J643" s="41">
        <v>569</v>
      </c>
      <c r="K643" s="118"/>
      <c r="L643" s="119"/>
      <c r="M643" s="110">
        <f>IF(L643="",I643,(MIN(J643,(L643*1.6*J643))))</f>
        <v>527</v>
      </c>
      <c r="N643" s="111">
        <f>IF(M643=0,0,(M643/J643))</f>
        <v>0.92618629173989453</v>
      </c>
    </row>
    <row r="644" spans="2:14" ht="30">
      <c r="B644" s="72">
        <v>127722</v>
      </c>
      <c r="C644" s="47" t="s">
        <v>268</v>
      </c>
      <c r="D644" s="123">
        <f>SUMIF(B$3:B$3844,B644,M$3:M$3844)/(SUMIF(B$3:B$3844,B644,J$3:J$3844))</f>
        <v>0.76143103246416566</v>
      </c>
      <c r="E644" s="47">
        <v>16070971</v>
      </c>
      <c r="F644" s="48" t="s">
        <v>292</v>
      </c>
      <c r="G644" s="47"/>
      <c r="H644" s="47"/>
      <c r="I644" s="40">
        <v>88</v>
      </c>
      <c r="J644" s="40">
        <v>88</v>
      </c>
      <c r="K644" s="118"/>
      <c r="L644" s="119"/>
      <c r="M644" s="110">
        <f>IF(L644="",I644,(MIN(J644,(L644*1.6*J644))))</f>
        <v>88</v>
      </c>
      <c r="N644" s="111">
        <f>IF(M644=0,0,(M644/J644))</f>
        <v>1</v>
      </c>
    </row>
    <row r="645" spans="2:14">
      <c r="B645" s="73">
        <v>127722</v>
      </c>
      <c r="C645" s="23" t="s">
        <v>268</v>
      </c>
      <c r="D645" s="123">
        <f>SUMIF(B$3:B$3844,B645,M$3:M$3844)/(SUMIF(B$3:B$3844,B645,J$3:J$3844))</f>
        <v>0.76143103246416566</v>
      </c>
      <c r="E645" s="23">
        <v>36960</v>
      </c>
      <c r="F645" s="46" t="s">
        <v>293</v>
      </c>
      <c r="G645" s="23"/>
      <c r="H645" s="23"/>
      <c r="I645" s="41">
        <v>567</v>
      </c>
      <c r="J645" s="41">
        <v>602</v>
      </c>
      <c r="K645" s="118"/>
      <c r="L645" s="119"/>
      <c r="M645" s="110">
        <f>IF(L645="",I645,(MIN(J645,(L645*1.6*J645))))</f>
        <v>567</v>
      </c>
      <c r="N645" s="111">
        <f>IF(M645=0,0,(M645/J645))</f>
        <v>0.94186046511627908</v>
      </c>
    </row>
    <row r="646" spans="2:14">
      <c r="B646" s="72">
        <v>127722</v>
      </c>
      <c r="C646" s="47" t="s">
        <v>268</v>
      </c>
      <c r="D646" s="123">
        <f>SUMIF(B$3:B$3844,B646,M$3:M$3844)/(SUMIF(B$3:B$3844,B646,J$3:J$3844))</f>
        <v>0.76143103246416566</v>
      </c>
      <c r="E646" s="47">
        <v>36810</v>
      </c>
      <c r="F646" s="48" t="s">
        <v>294</v>
      </c>
      <c r="G646" s="47"/>
      <c r="H646" s="47"/>
      <c r="I646" s="40">
        <v>561</v>
      </c>
      <c r="J646" s="40">
        <v>584</v>
      </c>
      <c r="K646" s="118"/>
      <c r="L646" s="119"/>
      <c r="M646" s="110">
        <f>IF(L646="",I646,(MIN(J646,(L646*1.6*J646))))</f>
        <v>561</v>
      </c>
      <c r="N646" s="111">
        <f>IF(M646=0,0,(M646/J646))</f>
        <v>0.96061643835616439</v>
      </c>
    </row>
    <row r="647" spans="2:14">
      <c r="B647" s="73">
        <v>127722</v>
      </c>
      <c r="C647" s="23" t="s">
        <v>268</v>
      </c>
      <c r="D647" s="123">
        <f>SUMIF(B$3:B$3844,B647,M$3:M$3844)/(SUMIF(B$3:B$3844,B647,J$3:J$3844))</f>
        <v>0.76143103246416566</v>
      </c>
      <c r="E647" s="23">
        <v>36917</v>
      </c>
      <c r="F647" s="46" t="s">
        <v>295</v>
      </c>
      <c r="G647" s="23"/>
      <c r="H647" s="23"/>
      <c r="I647" s="41">
        <v>298</v>
      </c>
      <c r="J647" s="41">
        <v>489</v>
      </c>
      <c r="K647" s="118"/>
      <c r="L647" s="119"/>
      <c r="M647" s="110">
        <f>IF(L647="",I647,(MIN(J647,(L647*1.6*J647))))</f>
        <v>298</v>
      </c>
      <c r="N647" s="111">
        <f>IF(M647=0,0,(M647/J647))</f>
        <v>0.60940695296523517</v>
      </c>
    </row>
    <row r="648" spans="2:14">
      <c r="B648" s="72">
        <v>127722</v>
      </c>
      <c r="C648" s="47" t="s">
        <v>268</v>
      </c>
      <c r="D648" s="123">
        <f>SUMIF(B$3:B$3844,B648,M$3:M$3844)/(SUMIF(B$3:B$3844,B648,J$3:J$3844))</f>
        <v>0.76143103246416566</v>
      </c>
      <c r="E648" s="47">
        <v>37068</v>
      </c>
      <c r="F648" s="48" t="s">
        <v>296</v>
      </c>
      <c r="G648" s="47"/>
      <c r="H648" s="47"/>
      <c r="I648" s="40">
        <v>970</v>
      </c>
      <c r="J648" s="40">
        <v>1109</v>
      </c>
      <c r="K648" s="118"/>
      <c r="L648" s="119"/>
      <c r="M648" s="110">
        <f>IF(L648="",I648,(MIN(J648,(L648*1.6*J648))))</f>
        <v>970</v>
      </c>
      <c r="N648" s="111">
        <f>IF(M648=0,0,(M648/J648))</f>
        <v>0.8746618575293057</v>
      </c>
    </row>
    <row r="649" spans="2:14">
      <c r="B649" s="73">
        <v>127722</v>
      </c>
      <c r="C649" s="23" t="s">
        <v>268</v>
      </c>
      <c r="D649" s="123">
        <f>SUMIF(B$3:B$3844,B649,M$3:M$3844)/(SUMIF(B$3:B$3844,B649,J$3:J$3844))</f>
        <v>0.76143103246416566</v>
      </c>
      <c r="E649" s="23">
        <v>36514</v>
      </c>
      <c r="F649" s="46" t="s">
        <v>297</v>
      </c>
      <c r="G649" s="23"/>
      <c r="H649" s="23"/>
      <c r="I649" s="41">
        <v>574</v>
      </c>
      <c r="J649" s="41">
        <v>625</v>
      </c>
      <c r="K649" s="118"/>
      <c r="L649" s="119"/>
      <c r="M649" s="110">
        <f>IF(L649="",I649,(MIN(J649,(L649*1.6*J649))))</f>
        <v>574</v>
      </c>
      <c r="N649" s="111">
        <f>IF(M649=0,0,(M649/J649))</f>
        <v>0.91839999999999999</v>
      </c>
    </row>
    <row r="650" spans="2:14" ht="30">
      <c r="B650" s="72">
        <v>127722</v>
      </c>
      <c r="C650" s="47" t="s">
        <v>268</v>
      </c>
      <c r="D650" s="123">
        <f>SUMIF(B$3:B$3844,B650,M$3:M$3844)/(SUMIF(B$3:B$3844,B650,J$3:J$3844))</f>
        <v>0.76143103246416566</v>
      </c>
      <c r="E650" s="47">
        <v>36296</v>
      </c>
      <c r="F650" s="48" t="s">
        <v>298</v>
      </c>
      <c r="G650" s="47"/>
      <c r="H650" s="47"/>
      <c r="I650" s="40">
        <v>612</v>
      </c>
      <c r="J650" s="40">
        <v>634</v>
      </c>
      <c r="K650" s="118"/>
      <c r="L650" s="119"/>
      <c r="M650" s="110">
        <f>IF(L650="",I650,(MIN(J650,(L650*1.6*J650))))</f>
        <v>612</v>
      </c>
      <c r="N650" s="111">
        <f>IF(M650=0,0,(M650/J650))</f>
        <v>0.96529968454258674</v>
      </c>
    </row>
    <row r="651" spans="2:14">
      <c r="B651" s="73">
        <v>127722</v>
      </c>
      <c r="C651" s="23" t="s">
        <v>268</v>
      </c>
      <c r="D651" s="123">
        <f>SUMIF(B$3:B$3844,B651,M$3:M$3844)/(SUMIF(B$3:B$3844,B651,J$3:J$3844))</f>
        <v>0.76143103246416566</v>
      </c>
      <c r="E651" s="23">
        <v>36798</v>
      </c>
      <c r="F651" s="46" t="s">
        <v>299</v>
      </c>
      <c r="G651" s="23"/>
      <c r="H651" s="23"/>
      <c r="I651" s="41">
        <v>455</v>
      </c>
      <c r="J651" s="41">
        <v>471</v>
      </c>
      <c r="K651" s="118"/>
      <c r="L651" s="119"/>
      <c r="M651" s="110">
        <f>IF(L651="",I651,(MIN(J651,(L651*1.6*J651))))</f>
        <v>455</v>
      </c>
      <c r="N651" s="111">
        <f>IF(M651=0,0,(M651/J651))</f>
        <v>0.96602972399150744</v>
      </c>
    </row>
    <row r="652" spans="2:14">
      <c r="B652" s="72">
        <v>127722</v>
      </c>
      <c r="C652" s="47" t="s">
        <v>268</v>
      </c>
      <c r="D652" s="123">
        <f>SUMIF(B$3:B$3844,B652,M$3:M$3844)/(SUMIF(B$3:B$3844,B652,J$3:J$3844))</f>
        <v>0.76143103246416566</v>
      </c>
      <c r="E652" s="47">
        <v>36888</v>
      </c>
      <c r="F652" s="48" t="s">
        <v>300</v>
      </c>
      <c r="G652" s="47"/>
      <c r="H652" s="47"/>
      <c r="I652" s="40">
        <v>647</v>
      </c>
      <c r="J652" s="40">
        <v>733</v>
      </c>
      <c r="K652" s="118"/>
      <c r="L652" s="119"/>
      <c r="M652" s="110">
        <f>IF(L652="",I652,(MIN(J652,(L652*1.6*J652))))</f>
        <v>647</v>
      </c>
      <c r="N652" s="111">
        <f>IF(M652=0,0,(M652/J652))</f>
        <v>0.88267394270122779</v>
      </c>
    </row>
    <row r="653" spans="2:14">
      <c r="B653" s="73">
        <v>127722</v>
      </c>
      <c r="C653" s="23" t="s">
        <v>268</v>
      </c>
      <c r="D653" s="123">
        <f>SUMIF(B$3:B$3844,B653,M$3:M$3844)/(SUMIF(B$3:B$3844,B653,J$3:J$3844))</f>
        <v>0.76143103246416566</v>
      </c>
      <c r="E653" s="23">
        <v>36499</v>
      </c>
      <c r="F653" s="46" t="s">
        <v>301</v>
      </c>
      <c r="G653" s="23"/>
      <c r="H653" s="23"/>
      <c r="I653" s="41">
        <v>374</v>
      </c>
      <c r="J653" s="41">
        <v>379</v>
      </c>
      <c r="K653" s="118"/>
      <c r="L653" s="119"/>
      <c r="M653" s="110">
        <f>IF(L653="",I653,(MIN(J653,(L653*1.6*J653))))</f>
        <v>374</v>
      </c>
      <c r="N653" s="111">
        <f>IF(M653=0,0,(M653/J653))</f>
        <v>0.98680738786279687</v>
      </c>
    </row>
    <row r="654" spans="2:14">
      <c r="B654" s="72">
        <v>127722</v>
      </c>
      <c r="C654" s="47" t="s">
        <v>268</v>
      </c>
      <c r="D654" s="123">
        <f>SUMIF(B$3:B$3844,B654,M$3:M$3844)/(SUMIF(B$3:B$3844,B654,J$3:J$3844))</f>
        <v>0.76143103246416566</v>
      </c>
      <c r="E654" s="47">
        <v>36460</v>
      </c>
      <c r="F654" s="48" t="s">
        <v>302</v>
      </c>
      <c r="G654" s="47"/>
      <c r="H654" s="47"/>
      <c r="I654" s="40">
        <v>908</v>
      </c>
      <c r="J654" s="40">
        <v>928</v>
      </c>
      <c r="K654" s="118"/>
      <c r="L654" s="119"/>
      <c r="M654" s="110">
        <f>IF(L654="",I654,(MIN(J654,(L654*1.6*J654))))</f>
        <v>908</v>
      </c>
      <c r="N654" s="111">
        <f>IF(M654=0,0,(M654/J654))</f>
        <v>0.97844827586206895</v>
      </c>
    </row>
    <row r="655" spans="2:14">
      <c r="B655" s="73">
        <v>127722</v>
      </c>
      <c r="C655" s="23" t="s">
        <v>268</v>
      </c>
      <c r="D655" s="123">
        <f>SUMIF(B$3:B$3844,B655,M$3:M$3844)/(SUMIF(B$3:B$3844,B655,J$3:J$3844))</f>
        <v>0.76143103246416566</v>
      </c>
      <c r="E655" s="23">
        <v>37016</v>
      </c>
      <c r="F655" s="46" t="s">
        <v>303</v>
      </c>
      <c r="G655" s="23"/>
      <c r="H655" s="23"/>
      <c r="I655" s="41">
        <v>625</v>
      </c>
      <c r="J655" s="41">
        <v>666</v>
      </c>
      <c r="K655" s="118"/>
      <c r="L655" s="119"/>
      <c r="M655" s="110">
        <f>IF(L655="",I655,(MIN(J655,(L655*1.6*J655))))</f>
        <v>625</v>
      </c>
      <c r="N655" s="111">
        <f>IF(M655=0,0,(M655/J655))</f>
        <v>0.93843843843843844</v>
      </c>
    </row>
    <row r="656" spans="2:14">
      <c r="B656" s="72">
        <v>127722</v>
      </c>
      <c r="C656" s="47" t="s">
        <v>268</v>
      </c>
      <c r="D656" s="123">
        <f>SUMIF(B$3:B$3844,B656,M$3:M$3844)/(SUMIF(B$3:B$3844,B656,J$3:J$3844))</f>
        <v>0.76143103246416566</v>
      </c>
      <c r="E656" s="47">
        <v>37051</v>
      </c>
      <c r="F656" s="48" t="s">
        <v>304</v>
      </c>
      <c r="G656" s="47"/>
      <c r="H656" s="47"/>
      <c r="I656" s="40">
        <v>441</v>
      </c>
      <c r="J656" s="40">
        <v>860</v>
      </c>
      <c r="K656" s="118"/>
      <c r="L656" s="119"/>
      <c r="M656" s="110">
        <f>IF(L656="",I656,(MIN(J656,(L656*1.6*J656))))</f>
        <v>441</v>
      </c>
      <c r="N656" s="111">
        <f>IF(M656=0,0,(M656/J656))</f>
        <v>0.51279069767441865</v>
      </c>
    </row>
    <row r="657" spans="2:14">
      <c r="B657" s="73">
        <v>127722</v>
      </c>
      <c r="C657" s="23" t="s">
        <v>268</v>
      </c>
      <c r="D657" s="123">
        <f>SUMIF(B$3:B$3844,B657,M$3:M$3844)/(SUMIF(B$3:B$3844,B657,J$3:J$3844))</f>
        <v>0.76143103246416566</v>
      </c>
      <c r="E657" s="23">
        <v>36507</v>
      </c>
      <c r="F657" s="46" t="s">
        <v>305</v>
      </c>
      <c r="G657" s="23"/>
      <c r="H657" s="23"/>
      <c r="I657" s="41">
        <v>420</v>
      </c>
      <c r="J657" s="41">
        <v>448</v>
      </c>
      <c r="K657" s="118"/>
      <c r="L657" s="119"/>
      <c r="M657" s="110">
        <f>IF(L657="",I657,(MIN(J657,(L657*1.6*J657))))</f>
        <v>420</v>
      </c>
      <c r="N657" s="111">
        <f>IF(M657=0,0,(M657/J657))</f>
        <v>0.9375</v>
      </c>
    </row>
    <row r="658" spans="2:14">
      <c r="B658" s="72">
        <v>127722</v>
      </c>
      <c r="C658" s="47" t="s">
        <v>268</v>
      </c>
      <c r="D658" s="123">
        <f>SUMIF(B$3:B$3844,B658,M$3:M$3844)/(SUMIF(B$3:B$3844,B658,J$3:J$3844))</f>
        <v>0.76143103246416566</v>
      </c>
      <c r="E658" s="47">
        <v>36655</v>
      </c>
      <c r="F658" s="48" t="s">
        <v>306</v>
      </c>
      <c r="G658" s="47"/>
      <c r="H658" s="47"/>
      <c r="I658" s="40">
        <v>256</v>
      </c>
      <c r="J658" s="40">
        <v>391</v>
      </c>
      <c r="K658" s="118"/>
      <c r="L658" s="119"/>
      <c r="M658" s="110">
        <f>IF(L658="",I658,(MIN(J658,(L658*1.6*J658))))</f>
        <v>256</v>
      </c>
      <c r="N658" s="111">
        <f>IF(M658=0,0,(M658/J658))</f>
        <v>0.65473145780051156</v>
      </c>
    </row>
    <row r="659" spans="2:14">
      <c r="B659" s="73">
        <v>127722</v>
      </c>
      <c r="C659" s="23" t="s">
        <v>268</v>
      </c>
      <c r="D659" s="123">
        <f>SUMIF(B$3:B$3844,B659,M$3:M$3844)/(SUMIF(B$3:B$3844,B659,J$3:J$3844))</f>
        <v>0.76143103246416566</v>
      </c>
      <c r="E659" s="23">
        <v>36713</v>
      </c>
      <c r="F659" s="46" t="s">
        <v>307</v>
      </c>
      <c r="G659" s="23"/>
      <c r="H659" s="23"/>
      <c r="I659" s="41">
        <v>742</v>
      </c>
      <c r="J659" s="41">
        <v>852</v>
      </c>
      <c r="K659" s="118"/>
      <c r="L659" s="119"/>
      <c r="M659" s="110">
        <f>IF(L659="",I659,(MIN(J659,(L659*1.6*J659))))</f>
        <v>742</v>
      </c>
      <c r="N659" s="111">
        <f>IF(M659=0,0,(M659/J659))</f>
        <v>0.87089201877934275</v>
      </c>
    </row>
    <row r="660" spans="2:14">
      <c r="B660" s="72">
        <v>127722</v>
      </c>
      <c r="C660" s="47" t="s">
        <v>268</v>
      </c>
      <c r="D660" s="123">
        <f>SUMIF(B$3:B$3844,B660,M$3:M$3844)/(SUMIF(B$3:B$3844,B660,J$3:J$3844))</f>
        <v>0.76143103246416566</v>
      </c>
      <c r="E660" s="47">
        <v>36455</v>
      </c>
      <c r="F660" s="48" t="s">
        <v>308</v>
      </c>
      <c r="G660" s="47"/>
      <c r="H660" s="47"/>
      <c r="I660" s="40">
        <v>532</v>
      </c>
      <c r="J660" s="40">
        <v>558</v>
      </c>
      <c r="K660" s="118"/>
      <c r="L660" s="119"/>
      <c r="M660" s="110">
        <f>IF(L660="",I660,(MIN(J660,(L660*1.6*J660))))</f>
        <v>532</v>
      </c>
      <c r="N660" s="111">
        <f>IF(M660=0,0,(M660/J660))</f>
        <v>0.95340501792114696</v>
      </c>
    </row>
    <row r="661" spans="2:14">
      <c r="B661" s="73">
        <v>127722</v>
      </c>
      <c r="C661" s="23" t="s">
        <v>268</v>
      </c>
      <c r="D661" s="123">
        <f>SUMIF(B$3:B$3844,B661,M$3:M$3844)/(SUMIF(B$3:B$3844,B661,J$3:J$3844))</f>
        <v>0.76143103246416566</v>
      </c>
      <c r="E661" s="23">
        <v>36622</v>
      </c>
      <c r="F661" s="46" t="s">
        <v>309</v>
      </c>
      <c r="G661" s="23"/>
      <c r="H661" s="23"/>
      <c r="I661" s="41">
        <v>816</v>
      </c>
      <c r="J661" s="41">
        <v>853</v>
      </c>
      <c r="K661" s="118"/>
      <c r="L661" s="119"/>
      <c r="M661" s="110">
        <f>IF(L661="",I661,(MIN(J661,(L661*1.6*J661))))</f>
        <v>816</v>
      </c>
      <c r="N661" s="111">
        <f>IF(M661=0,0,(M661/J661))</f>
        <v>0.95662368112543961</v>
      </c>
    </row>
    <row r="662" spans="2:14">
      <c r="B662" s="72">
        <v>127722</v>
      </c>
      <c r="C662" s="47" t="s">
        <v>268</v>
      </c>
      <c r="D662" s="123">
        <f>SUMIF(B$3:B$3844,B662,M$3:M$3844)/(SUMIF(B$3:B$3844,B662,J$3:J$3844))</f>
        <v>0.76143103246416566</v>
      </c>
      <c r="E662" s="47">
        <v>37050</v>
      </c>
      <c r="F662" s="48" t="s">
        <v>310</v>
      </c>
      <c r="G662" s="47"/>
      <c r="H662" s="47"/>
      <c r="I662" s="40">
        <v>411</v>
      </c>
      <c r="J662" s="40">
        <v>602</v>
      </c>
      <c r="K662" s="118"/>
      <c r="L662" s="119"/>
      <c r="M662" s="110">
        <f>IF(L662="",I662,(MIN(J662,(L662*1.6*J662))))</f>
        <v>411</v>
      </c>
      <c r="N662" s="111">
        <f>IF(M662=0,0,(M662/J662))</f>
        <v>0.68272425249169433</v>
      </c>
    </row>
    <row r="663" spans="2:14">
      <c r="B663" s="73">
        <v>127722</v>
      </c>
      <c r="C663" s="23" t="s">
        <v>268</v>
      </c>
      <c r="D663" s="123">
        <f>SUMIF(B$3:B$3844,B663,M$3:M$3844)/(SUMIF(B$3:B$3844,B663,J$3:J$3844))</f>
        <v>0.76143103246416566</v>
      </c>
      <c r="E663" s="23">
        <v>36656</v>
      </c>
      <c r="F663" s="46" t="s">
        <v>311</v>
      </c>
      <c r="G663" s="23"/>
      <c r="H663" s="23"/>
      <c r="I663" s="41">
        <v>184</v>
      </c>
      <c r="J663" s="41">
        <v>481</v>
      </c>
      <c r="K663" s="118"/>
      <c r="L663" s="119"/>
      <c r="M663" s="110">
        <f>IF(L663="",I663,(MIN(J663,(L663*1.6*J663))))</f>
        <v>184</v>
      </c>
      <c r="N663" s="111">
        <f>IF(M663=0,0,(M663/J663))</f>
        <v>0.38253638253638256</v>
      </c>
    </row>
    <row r="664" spans="2:14">
      <c r="B664" s="72">
        <v>127722</v>
      </c>
      <c r="C664" s="47" t="s">
        <v>268</v>
      </c>
      <c r="D664" s="123">
        <f>SUMIF(B$3:B$3844,B664,M$3:M$3844)/(SUMIF(B$3:B$3844,B664,J$3:J$3844))</f>
        <v>0.76143103246416566</v>
      </c>
      <c r="E664" s="47">
        <v>36864</v>
      </c>
      <c r="F664" s="48" t="s">
        <v>312</v>
      </c>
      <c r="G664" s="47"/>
      <c r="H664" s="47"/>
      <c r="I664" s="40">
        <v>270</v>
      </c>
      <c r="J664" s="40">
        <v>298</v>
      </c>
      <c r="K664" s="118"/>
      <c r="L664" s="119"/>
      <c r="M664" s="110">
        <f>IF(L664="",I664,(MIN(J664,(L664*1.6*J664))))</f>
        <v>270</v>
      </c>
      <c r="N664" s="111">
        <f>IF(M664=0,0,(M664/J664))</f>
        <v>0.90604026845637586</v>
      </c>
    </row>
    <row r="665" spans="2:14">
      <c r="B665" s="73">
        <v>127722</v>
      </c>
      <c r="C665" s="23" t="s">
        <v>268</v>
      </c>
      <c r="D665" s="123">
        <f>SUMIF(B$3:B$3844,B665,M$3:M$3844)/(SUMIF(B$3:B$3844,B665,J$3:J$3844))</f>
        <v>0.76143103246416566</v>
      </c>
      <c r="E665" s="23">
        <v>36757</v>
      </c>
      <c r="F665" s="46" t="s">
        <v>313</v>
      </c>
      <c r="G665" s="23"/>
      <c r="H665" s="23"/>
      <c r="I665" s="41">
        <v>560</v>
      </c>
      <c r="J665" s="41">
        <v>564</v>
      </c>
      <c r="K665" s="118"/>
      <c r="L665" s="119"/>
      <c r="M665" s="110">
        <f>IF(L665="",I665,(MIN(J665,(L665*1.6*J665))))</f>
        <v>560</v>
      </c>
      <c r="N665" s="111">
        <f>IF(M665=0,0,(M665/J665))</f>
        <v>0.99290780141843971</v>
      </c>
    </row>
    <row r="666" spans="2:14">
      <c r="B666" s="72">
        <v>127722</v>
      </c>
      <c r="C666" s="47" t="s">
        <v>268</v>
      </c>
      <c r="D666" s="123">
        <f>SUMIF(B$3:B$3844,B666,M$3:M$3844)/(SUMIF(B$3:B$3844,B666,J$3:J$3844))</f>
        <v>0.76143103246416566</v>
      </c>
      <c r="E666" s="47">
        <v>36445</v>
      </c>
      <c r="F666" s="48" t="s">
        <v>314</v>
      </c>
      <c r="G666" s="47"/>
      <c r="H666" s="47"/>
      <c r="I666" s="40">
        <v>90</v>
      </c>
      <c r="J666" s="40">
        <v>105</v>
      </c>
      <c r="K666" s="118"/>
      <c r="L666" s="119"/>
      <c r="M666" s="110">
        <f>IF(L666="",I666,(MIN(J666,(L666*1.6*J666))))</f>
        <v>90</v>
      </c>
      <c r="N666" s="111">
        <f>IF(M666=0,0,(M666/J666))</f>
        <v>0.8571428571428571</v>
      </c>
    </row>
    <row r="667" spans="2:14">
      <c r="B667" s="73">
        <v>127722</v>
      </c>
      <c r="C667" s="23" t="s">
        <v>268</v>
      </c>
      <c r="D667" s="123">
        <f>SUMIF(B$3:B$3844,B667,M$3:M$3844)/(SUMIF(B$3:B$3844,B667,J$3:J$3844))</f>
        <v>0.76143103246416566</v>
      </c>
      <c r="E667" s="23">
        <v>36672</v>
      </c>
      <c r="F667" s="46" t="s">
        <v>315</v>
      </c>
      <c r="G667" s="23"/>
      <c r="H667" s="23"/>
      <c r="I667" s="41">
        <v>328</v>
      </c>
      <c r="J667" s="41">
        <v>818</v>
      </c>
      <c r="K667" s="118"/>
      <c r="L667" s="119"/>
      <c r="M667" s="110">
        <f>IF(L667="",I667,(MIN(J667,(L667*1.6*J667))))</f>
        <v>328</v>
      </c>
      <c r="N667" s="111">
        <f>IF(M667=0,0,(M667/J667))</f>
        <v>0.40097799511002447</v>
      </c>
    </row>
    <row r="668" spans="2:14">
      <c r="B668" s="72">
        <v>127722</v>
      </c>
      <c r="C668" s="47" t="s">
        <v>268</v>
      </c>
      <c r="D668" s="123">
        <f>SUMIF(B$3:B$3844,B668,M$3:M$3844)/(SUMIF(B$3:B$3844,B668,J$3:J$3844))</f>
        <v>0.76143103246416566</v>
      </c>
      <c r="E668" s="47">
        <v>36981</v>
      </c>
      <c r="F668" s="48" t="s">
        <v>45</v>
      </c>
      <c r="G668" s="47"/>
      <c r="H668" s="47"/>
      <c r="I668" s="40">
        <v>861</v>
      </c>
      <c r="J668" s="40">
        <v>1192</v>
      </c>
      <c r="K668" s="118"/>
      <c r="L668" s="119"/>
      <c r="M668" s="110">
        <f>IF(L668="",I668,(MIN(J668,(L668*1.6*J668))))</f>
        <v>861</v>
      </c>
      <c r="N668" s="111">
        <f>IF(M668=0,0,(M668/J668))</f>
        <v>0.72231543624161076</v>
      </c>
    </row>
    <row r="669" spans="2:14">
      <c r="B669" s="73">
        <v>127722</v>
      </c>
      <c r="C669" s="23" t="s">
        <v>268</v>
      </c>
      <c r="D669" s="123">
        <f>SUMIF(B$3:B$3844,B669,M$3:M$3844)/(SUMIF(B$3:B$3844,B669,J$3:J$3844))</f>
        <v>0.76143103246416566</v>
      </c>
      <c r="E669" s="23">
        <v>36861</v>
      </c>
      <c r="F669" s="46" t="s">
        <v>316</v>
      </c>
      <c r="G669" s="23"/>
      <c r="H669" s="23"/>
      <c r="I669" s="41">
        <v>342</v>
      </c>
      <c r="J669" s="41">
        <v>879</v>
      </c>
      <c r="K669" s="118"/>
      <c r="L669" s="119"/>
      <c r="M669" s="110">
        <f>IF(L669="",I669,(MIN(J669,(L669*1.6*J669))))</f>
        <v>342</v>
      </c>
      <c r="N669" s="111">
        <f>IF(M669=0,0,(M669/J669))</f>
        <v>0.38907849829351537</v>
      </c>
    </row>
    <row r="670" spans="2:14">
      <c r="B670" s="72">
        <v>127722</v>
      </c>
      <c r="C670" s="47" t="s">
        <v>268</v>
      </c>
      <c r="D670" s="123">
        <f>SUMIF(B$3:B$3844,B670,M$3:M$3844)/(SUMIF(B$3:B$3844,B670,J$3:J$3844))</f>
        <v>0.76143103246416566</v>
      </c>
      <c r="E670" s="47">
        <v>16080435</v>
      </c>
      <c r="F670" s="48" t="s">
        <v>317</v>
      </c>
      <c r="G670" s="47"/>
      <c r="H670" s="47"/>
      <c r="I670" s="40">
        <v>67</v>
      </c>
      <c r="J670" s="40">
        <v>176</v>
      </c>
      <c r="K670" s="118"/>
      <c r="L670" s="119"/>
      <c r="M670" s="110">
        <f>IF(L670="",I670,(MIN(J670,(L670*1.6*J670))))</f>
        <v>67</v>
      </c>
      <c r="N670" s="111">
        <f>IF(M670=0,0,(M670/J670))</f>
        <v>0.38068181818181818</v>
      </c>
    </row>
    <row r="671" spans="2:14">
      <c r="B671" s="73">
        <v>127722</v>
      </c>
      <c r="C671" s="23" t="s">
        <v>268</v>
      </c>
      <c r="D671" s="123">
        <f>SUMIF(B$3:B$3844,B671,M$3:M$3844)/(SUMIF(B$3:B$3844,B671,J$3:J$3844))</f>
        <v>0.76143103246416566</v>
      </c>
      <c r="E671" s="23">
        <v>36829</v>
      </c>
      <c r="F671" s="46" t="s">
        <v>318</v>
      </c>
      <c r="G671" s="23"/>
      <c r="H671" s="23"/>
      <c r="I671" s="41">
        <v>432</v>
      </c>
      <c r="J671" s="41">
        <v>461</v>
      </c>
      <c r="K671" s="118"/>
      <c r="L671" s="119"/>
      <c r="M671" s="110">
        <f>IF(L671="",I671,(MIN(J671,(L671*1.6*J671))))</f>
        <v>432</v>
      </c>
      <c r="N671" s="111">
        <f>IF(M671=0,0,(M671/J671))</f>
        <v>0.93709327548806942</v>
      </c>
    </row>
    <row r="672" spans="2:14">
      <c r="B672" s="72">
        <v>127722</v>
      </c>
      <c r="C672" s="47" t="s">
        <v>268</v>
      </c>
      <c r="D672" s="123">
        <f>SUMIF(B$3:B$3844,B672,M$3:M$3844)/(SUMIF(B$3:B$3844,B672,J$3:J$3844))</f>
        <v>0.76143103246416566</v>
      </c>
      <c r="E672" s="47">
        <v>36783</v>
      </c>
      <c r="F672" s="48" t="s">
        <v>319</v>
      </c>
      <c r="G672" s="47"/>
      <c r="H672" s="47"/>
      <c r="I672" s="40">
        <v>1047</v>
      </c>
      <c r="J672" s="40">
        <v>1460</v>
      </c>
      <c r="K672" s="118"/>
      <c r="L672" s="119"/>
      <c r="M672" s="110">
        <f>IF(L672="",I672,(MIN(J672,(L672*1.6*J672))))</f>
        <v>1047</v>
      </c>
      <c r="N672" s="111">
        <f>IF(M672=0,0,(M672/J672))</f>
        <v>0.7171232876712329</v>
      </c>
    </row>
    <row r="673" spans="2:14">
      <c r="B673" s="73">
        <v>127722</v>
      </c>
      <c r="C673" s="23" t="s">
        <v>268</v>
      </c>
      <c r="D673" s="123">
        <f>SUMIF(B$3:B$3844,B673,M$3:M$3844)/(SUMIF(B$3:B$3844,B673,J$3:J$3844))</f>
        <v>0.76143103246416566</v>
      </c>
      <c r="E673" s="23">
        <v>36515</v>
      </c>
      <c r="F673" s="46" t="s">
        <v>320</v>
      </c>
      <c r="G673" s="23"/>
      <c r="H673" s="23"/>
      <c r="I673" s="41">
        <v>384</v>
      </c>
      <c r="J673" s="41">
        <v>423</v>
      </c>
      <c r="K673" s="118"/>
      <c r="L673" s="119"/>
      <c r="M673" s="110">
        <f>IF(L673="",I673,(MIN(J673,(L673*1.6*J673))))</f>
        <v>384</v>
      </c>
      <c r="N673" s="111">
        <f>IF(M673=0,0,(M673/J673))</f>
        <v>0.90780141843971629</v>
      </c>
    </row>
    <row r="674" spans="2:14">
      <c r="B674" s="72">
        <v>127722</v>
      </c>
      <c r="C674" s="47" t="s">
        <v>268</v>
      </c>
      <c r="D674" s="123">
        <f>SUMIF(B$3:B$3844,B674,M$3:M$3844)/(SUMIF(B$3:B$3844,B674,J$3:J$3844))</f>
        <v>0.76143103246416566</v>
      </c>
      <c r="E674" s="47">
        <v>37061</v>
      </c>
      <c r="F674" s="48" t="s">
        <v>321</v>
      </c>
      <c r="G674" s="47"/>
      <c r="H674" s="47"/>
      <c r="I674" s="40">
        <v>438</v>
      </c>
      <c r="J674" s="40">
        <v>602</v>
      </c>
      <c r="K674" s="118"/>
      <c r="L674" s="119"/>
      <c r="M674" s="110">
        <f>IF(L674="",I674,(MIN(J674,(L674*1.6*J674))))</f>
        <v>438</v>
      </c>
      <c r="N674" s="111">
        <f>IF(M674=0,0,(M674/J674))</f>
        <v>0.72757475083056478</v>
      </c>
    </row>
    <row r="675" spans="2:14">
      <c r="B675" s="73">
        <v>127722</v>
      </c>
      <c r="C675" s="23" t="s">
        <v>268</v>
      </c>
      <c r="D675" s="123">
        <f>SUMIF(B$3:B$3844,B675,M$3:M$3844)/(SUMIF(B$3:B$3844,B675,J$3:J$3844))</f>
        <v>0.76143103246416566</v>
      </c>
      <c r="E675" s="23">
        <v>36920</v>
      </c>
      <c r="F675" s="46" t="s">
        <v>56</v>
      </c>
      <c r="G675" s="23"/>
      <c r="H675" s="23"/>
      <c r="I675" s="41">
        <v>245</v>
      </c>
      <c r="J675" s="41">
        <v>306</v>
      </c>
      <c r="K675" s="118"/>
      <c r="L675" s="119"/>
      <c r="M675" s="110">
        <f>IF(L675="",I675,(MIN(J675,(L675*1.6*J675))))</f>
        <v>245</v>
      </c>
      <c r="N675" s="111">
        <f>IF(M675=0,0,(M675/J675))</f>
        <v>0.80065359477124187</v>
      </c>
    </row>
    <row r="676" spans="2:14">
      <c r="B676" s="72">
        <v>127722</v>
      </c>
      <c r="C676" s="47" t="s">
        <v>268</v>
      </c>
      <c r="D676" s="123">
        <f>SUMIF(B$3:B$3844,B676,M$3:M$3844)/(SUMIF(B$3:B$3844,B676,J$3:J$3844))</f>
        <v>0.76143103246416566</v>
      </c>
      <c r="E676" s="47">
        <v>37053</v>
      </c>
      <c r="F676" s="48" t="s">
        <v>322</v>
      </c>
      <c r="G676" s="47"/>
      <c r="H676" s="47"/>
      <c r="I676" s="40">
        <v>841</v>
      </c>
      <c r="J676" s="40">
        <v>1524</v>
      </c>
      <c r="K676" s="118"/>
      <c r="L676" s="119"/>
      <c r="M676" s="110">
        <f>IF(L676="",I676,(MIN(J676,(L676*1.6*J676))))</f>
        <v>841</v>
      </c>
      <c r="N676" s="111">
        <f>IF(M676=0,0,(M676/J676))</f>
        <v>0.55183727034120733</v>
      </c>
    </row>
    <row r="677" spans="2:14">
      <c r="B677" s="73">
        <v>127722</v>
      </c>
      <c r="C677" s="23" t="s">
        <v>268</v>
      </c>
      <c r="D677" s="123">
        <f>SUMIF(B$3:B$3844,B677,M$3:M$3844)/(SUMIF(B$3:B$3844,B677,J$3:J$3844))</f>
        <v>0.76143103246416566</v>
      </c>
      <c r="E677" s="23">
        <v>36693</v>
      </c>
      <c r="F677" s="46" t="s">
        <v>323</v>
      </c>
      <c r="G677" s="23"/>
      <c r="H677" s="23"/>
      <c r="I677" s="41">
        <v>196</v>
      </c>
      <c r="J677" s="41">
        <v>197</v>
      </c>
      <c r="K677" s="118"/>
      <c r="L677" s="119"/>
      <c r="M677" s="110">
        <f>IF(L677="",I677,(MIN(J677,(L677*1.6*J677))))</f>
        <v>196</v>
      </c>
      <c r="N677" s="111">
        <f>IF(M677=0,0,(M677/J677))</f>
        <v>0.99492385786802029</v>
      </c>
    </row>
    <row r="678" spans="2:14">
      <c r="B678" s="72">
        <v>127722</v>
      </c>
      <c r="C678" s="47" t="s">
        <v>268</v>
      </c>
      <c r="D678" s="123">
        <f>SUMIF(B$3:B$3844,B678,M$3:M$3844)/(SUMIF(B$3:B$3844,B678,J$3:J$3844))</f>
        <v>0.76143103246416566</v>
      </c>
      <c r="E678" s="47">
        <v>37047</v>
      </c>
      <c r="F678" s="48" t="s">
        <v>324</v>
      </c>
      <c r="G678" s="47"/>
      <c r="H678" s="47"/>
      <c r="I678" s="40">
        <v>783</v>
      </c>
      <c r="J678" s="40">
        <v>992</v>
      </c>
      <c r="K678" s="118"/>
      <c r="L678" s="119"/>
      <c r="M678" s="110">
        <f>IF(L678="",I678,(MIN(J678,(L678*1.6*J678))))</f>
        <v>783</v>
      </c>
      <c r="N678" s="111">
        <f>IF(M678=0,0,(M678/J678))</f>
        <v>0.78931451612903225</v>
      </c>
    </row>
    <row r="679" spans="2:14">
      <c r="B679" s="73">
        <v>127722</v>
      </c>
      <c r="C679" s="23" t="s">
        <v>268</v>
      </c>
      <c r="D679" s="123">
        <f>SUMIF(B$3:B$3844,B679,M$3:M$3844)/(SUMIF(B$3:B$3844,B679,J$3:J$3844))</f>
        <v>0.76143103246416566</v>
      </c>
      <c r="E679" s="23">
        <v>36737</v>
      </c>
      <c r="F679" s="46" t="s">
        <v>325</v>
      </c>
      <c r="G679" s="23"/>
      <c r="H679" s="23"/>
      <c r="I679" s="41">
        <v>448</v>
      </c>
      <c r="J679" s="41">
        <v>461</v>
      </c>
      <c r="K679" s="118"/>
      <c r="L679" s="119"/>
      <c r="M679" s="110">
        <f>IF(L679="",I679,(MIN(J679,(L679*1.6*J679))))</f>
        <v>448</v>
      </c>
      <c r="N679" s="111">
        <f>IF(M679=0,0,(M679/J679))</f>
        <v>0.97180043383947934</v>
      </c>
    </row>
    <row r="680" spans="2:14">
      <c r="B680" s="72">
        <v>127722</v>
      </c>
      <c r="C680" s="47" t="s">
        <v>268</v>
      </c>
      <c r="D680" s="123">
        <f>SUMIF(B$3:B$3844,B680,M$3:M$3844)/(SUMIF(B$3:B$3844,B680,J$3:J$3844))</f>
        <v>0.76143103246416566</v>
      </c>
      <c r="E680" s="47">
        <v>36638</v>
      </c>
      <c r="F680" s="48" t="s">
        <v>326</v>
      </c>
      <c r="G680" s="47"/>
      <c r="H680" s="47"/>
      <c r="I680" s="40">
        <v>388</v>
      </c>
      <c r="J680" s="40">
        <v>395</v>
      </c>
      <c r="K680" s="118"/>
      <c r="L680" s="119"/>
      <c r="M680" s="110">
        <f>IF(L680="",I680,(MIN(J680,(L680*1.6*J680))))</f>
        <v>388</v>
      </c>
      <c r="N680" s="111">
        <f>IF(M680=0,0,(M680/J680))</f>
        <v>0.98227848101265824</v>
      </c>
    </row>
    <row r="681" spans="2:14">
      <c r="B681" s="73">
        <v>127722</v>
      </c>
      <c r="C681" s="23" t="s">
        <v>268</v>
      </c>
      <c r="D681" s="123">
        <f>SUMIF(B$3:B$3844,B681,M$3:M$3844)/(SUMIF(B$3:B$3844,B681,J$3:J$3844))</f>
        <v>0.76143103246416566</v>
      </c>
      <c r="E681" s="23">
        <v>36306</v>
      </c>
      <c r="F681" s="46" t="s">
        <v>327</v>
      </c>
      <c r="G681" s="23"/>
      <c r="H681" s="23"/>
      <c r="I681" s="41">
        <v>534</v>
      </c>
      <c r="J681" s="41">
        <v>587</v>
      </c>
      <c r="K681" s="118"/>
      <c r="L681" s="119"/>
      <c r="M681" s="110">
        <f>IF(L681="",I681,(MIN(J681,(L681*1.6*J681))))</f>
        <v>534</v>
      </c>
      <c r="N681" s="111">
        <f>IF(M681=0,0,(M681/J681))</f>
        <v>0.90971039182282798</v>
      </c>
    </row>
    <row r="682" spans="2:14">
      <c r="B682" s="72">
        <v>127722</v>
      </c>
      <c r="C682" s="47" t="s">
        <v>268</v>
      </c>
      <c r="D682" s="123">
        <f>SUMIF(B$3:B$3844,B682,M$3:M$3844)/(SUMIF(B$3:B$3844,B682,J$3:J$3844))</f>
        <v>0.76143103246416566</v>
      </c>
      <c r="E682" s="47">
        <v>36320</v>
      </c>
      <c r="F682" s="48" t="s">
        <v>328</v>
      </c>
      <c r="G682" s="47"/>
      <c r="H682" s="47"/>
      <c r="I682" s="40">
        <v>432</v>
      </c>
      <c r="J682" s="40">
        <v>461</v>
      </c>
      <c r="K682" s="118"/>
      <c r="L682" s="119"/>
      <c r="M682" s="110">
        <f>IF(L682="",I682,(MIN(J682,(L682*1.6*J682))))</f>
        <v>432</v>
      </c>
      <c r="N682" s="111">
        <f>IF(M682=0,0,(M682/J682))</f>
        <v>0.93709327548806942</v>
      </c>
    </row>
    <row r="683" spans="2:14">
      <c r="B683" s="73">
        <v>127722</v>
      </c>
      <c r="C683" s="23" t="s">
        <v>268</v>
      </c>
      <c r="D683" s="123">
        <f>SUMIF(B$3:B$3844,B683,M$3:M$3844)/(SUMIF(B$3:B$3844,B683,J$3:J$3844))</f>
        <v>0.76143103246416566</v>
      </c>
      <c r="E683" s="23">
        <v>36746</v>
      </c>
      <c r="F683" s="46" t="s">
        <v>329</v>
      </c>
      <c r="G683" s="23"/>
      <c r="H683" s="23"/>
      <c r="I683" s="41">
        <v>461</v>
      </c>
      <c r="J683" s="41">
        <v>467</v>
      </c>
      <c r="K683" s="118"/>
      <c r="L683" s="119"/>
      <c r="M683" s="110">
        <f>IF(L683="",I683,(MIN(J683,(L683*1.6*J683))))</f>
        <v>461</v>
      </c>
      <c r="N683" s="111">
        <f>IF(M683=0,0,(M683/J683))</f>
        <v>0.98715203426124198</v>
      </c>
    </row>
    <row r="684" spans="2:14">
      <c r="B684" s="72">
        <v>127722</v>
      </c>
      <c r="C684" s="47" t="s">
        <v>268</v>
      </c>
      <c r="D684" s="123">
        <f>SUMIF(B$3:B$3844,B684,M$3:M$3844)/(SUMIF(B$3:B$3844,B684,J$3:J$3844))</f>
        <v>0.76143103246416566</v>
      </c>
      <c r="E684" s="47">
        <v>36819</v>
      </c>
      <c r="F684" s="48" t="s">
        <v>330</v>
      </c>
      <c r="G684" s="47"/>
      <c r="H684" s="47"/>
      <c r="I684" s="40">
        <v>439</v>
      </c>
      <c r="J684" s="40">
        <v>458</v>
      </c>
      <c r="K684" s="118"/>
      <c r="L684" s="119"/>
      <c r="M684" s="110">
        <f>IF(L684="",I684,(MIN(J684,(L684*1.6*J684))))</f>
        <v>439</v>
      </c>
      <c r="N684" s="111">
        <f>IF(M684=0,0,(M684/J684))</f>
        <v>0.95851528384279472</v>
      </c>
    </row>
    <row r="685" spans="2:14">
      <c r="B685" s="73">
        <v>127722</v>
      </c>
      <c r="C685" s="23" t="s">
        <v>268</v>
      </c>
      <c r="D685" s="123">
        <f>SUMIF(B$3:B$3844,B685,M$3:M$3844)/(SUMIF(B$3:B$3844,B685,J$3:J$3844))</f>
        <v>0.76143103246416566</v>
      </c>
      <c r="E685" s="23">
        <v>36834</v>
      </c>
      <c r="F685" s="46" t="s">
        <v>331</v>
      </c>
      <c r="G685" s="23"/>
      <c r="H685" s="23"/>
      <c r="I685" s="41">
        <v>318</v>
      </c>
      <c r="J685" s="41">
        <v>359</v>
      </c>
      <c r="K685" s="118"/>
      <c r="L685" s="119"/>
      <c r="M685" s="110">
        <f>IF(L685="",I685,(MIN(J685,(L685*1.6*J685))))</f>
        <v>318</v>
      </c>
      <c r="N685" s="111">
        <f>IF(M685=0,0,(M685/J685))</f>
        <v>0.88579387186629521</v>
      </c>
    </row>
    <row r="686" spans="2:14">
      <c r="B686" s="72">
        <v>127722</v>
      </c>
      <c r="C686" s="47" t="s">
        <v>268</v>
      </c>
      <c r="D686" s="123">
        <f>SUMIF(B$3:B$3844,B686,M$3:M$3844)/(SUMIF(B$3:B$3844,B686,J$3:J$3844))</f>
        <v>0.76143103246416566</v>
      </c>
      <c r="E686" s="47">
        <v>36801</v>
      </c>
      <c r="F686" s="48" t="s">
        <v>332</v>
      </c>
      <c r="G686" s="47"/>
      <c r="H686" s="47"/>
      <c r="I686" s="40">
        <v>437</v>
      </c>
      <c r="J686" s="40">
        <v>444</v>
      </c>
      <c r="K686" s="118"/>
      <c r="L686" s="119"/>
      <c r="M686" s="110">
        <f>IF(L686="",I686,(MIN(J686,(L686*1.6*J686))))</f>
        <v>437</v>
      </c>
      <c r="N686" s="111">
        <f>IF(M686=0,0,(M686/J686))</f>
        <v>0.98423423423423428</v>
      </c>
    </row>
    <row r="687" spans="2:14">
      <c r="B687" s="73">
        <v>127722</v>
      </c>
      <c r="C687" s="23" t="s">
        <v>268</v>
      </c>
      <c r="D687" s="123">
        <f>SUMIF(B$3:B$3844,B687,M$3:M$3844)/(SUMIF(B$3:B$3844,B687,J$3:J$3844))</f>
        <v>0.76143103246416566</v>
      </c>
      <c r="E687" s="23">
        <v>210307</v>
      </c>
      <c r="F687" s="46" t="s">
        <v>333</v>
      </c>
      <c r="G687" s="23"/>
      <c r="H687" s="23"/>
      <c r="I687" s="41">
        <v>454</v>
      </c>
      <c r="J687" s="41">
        <v>803</v>
      </c>
      <c r="K687" s="118"/>
      <c r="L687" s="119"/>
      <c r="M687" s="110">
        <f>IF(L687="",I687,(MIN(J687,(L687*1.6*J687))))</f>
        <v>454</v>
      </c>
      <c r="N687" s="111">
        <f>IF(M687=0,0,(M687/J687))</f>
        <v>0.5653798256537983</v>
      </c>
    </row>
    <row r="688" spans="2:14">
      <c r="B688" s="72">
        <v>127722</v>
      </c>
      <c r="C688" s="47" t="s">
        <v>268</v>
      </c>
      <c r="D688" s="123">
        <f>SUMIF(B$3:B$3844,B688,M$3:M$3844)/(SUMIF(B$3:B$3844,B688,J$3:J$3844))</f>
        <v>0.76143103246416566</v>
      </c>
      <c r="E688" s="47">
        <v>36826</v>
      </c>
      <c r="F688" s="48" t="s">
        <v>334</v>
      </c>
      <c r="G688" s="47"/>
      <c r="H688" s="47"/>
      <c r="I688" s="40">
        <v>810</v>
      </c>
      <c r="J688" s="40">
        <v>1048</v>
      </c>
      <c r="K688" s="118"/>
      <c r="L688" s="119"/>
      <c r="M688" s="110">
        <f>IF(L688="",I688,(MIN(J688,(L688*1.6*J688))))</f>
        <v>810</v>
      </c>
      <c r="N688" s="111">
        <f>IF(M688=0,0,(M688/J688))</f>
        <v>0.77290076335877866</v>
      </c>
    </row>
    <row r="689" spans="2:14">
      <c r="B689" s="73">
        <v>127722</v>
      </c>
      <c r="C689" s="23" t="s">
        <v>268</v>
      </c>
      <c r="D689" s="123">
        <f>SUMIF(B$3:B$3844,B689,M$3:M$3844)/(SUMIF(B$3:B$3844,B689,J$3:J$3844))</f>
        <v>0.76143103246416566</v>
      </c>
      <c r="E689" s="23">
        <v>36839</v>
      </c>
      <c r="F689" s="46" t="s">
        <v>335</v>
      </c>
      <c r="G689" s="23"/>
      <c r="H689" s="23"/>
      <c r="I689" s="41">
        <v>216</v>
      </c>
      <c r="J689" s="41">
        <v>613</v>
      </c>
      <c r="K689" s="118"/>
      <c r="L689" s="119"/>
      <c r="M689" s="110">
        <f>IF(L689="",I689,(MIN(J689,(L689*1.6*J689))))</f>
        <v>216</v>
      </c>
      <c r="N689" s="111">
        <f>IF(M689=0,0,(M689/J689))</f>
        <v>0.35236541598694943</v>
      </c>
    </row>
    <row r="690" spans="2:14">
      <c r="B690" s="72">
        <v>127722</v>
      </c>
      <c r="C690" s="47" t="s">
        <v>268</v>
      </c>
      <c r="D690" s="123">
        <f>SUMIF(B$3:B$3844,B690,M$3:M$3844)/(SUMIF(B$3:B$3844,B690,J$3:J$3844))</f>
        <v>0.76143103246416566</v>
      </c>
      <c r="E690" s="47">
        <v>36774</v>
      </c>
      <c r="F690" s="48" t="s">
        <v>336</v>
      </c>
      <c r="G690" s="47"/>
      <c r="H690" s="47"/>
      <c r="I690" s="40">
        <v>582</v>
      </c>
      <c r="J690" s="40">
        <v>649</v>
      </c>
      <c r="K690" s="118"/>
      <c r="L690" s="119"/>
      <c r="M690" s="110">
        <f>IF(L690="",I690,(MIN(J690,(L690*1.6*J690))))</f>
        <v>582</v>
      </c>
      <c r="N690" s="111">
        <f>IF(M690=0,0,(M690/J690))</f>
        <v>0.8967642526964561</v>
      </c>
    </row>
    <row r="691" spans="2:14">
      <c r="B691" s="73">
        <v>127722</v>
      </c>
      <c r="C691" s="23" t="s">
        <v>268</v>
      </c>
      <c r="D691" s="123">
        <f>SUMIF(B$3:B$3844,B691,M$3:M$3844)/(SUMIF(B$3:B$3844,B691,J$3:J$3844))</f>
        <v>0.76143103246416566</v>
      </c>
      <c r="E691" s="23">
        <v>37069</v>
      </c>
      <c r="F691" s="46" t="s">
        <v>337</v>
      </c>
      <c r="G691" s="23"/>
      <c r="H691" s="23"/>
      <c r="I691" s="41">
        <v>464</v>
      </c>
      <c r="J691" s="41">
        <v>525</v>
      </c>
      <c r="K691" s="118"/>
      <c r="L691" s="119"/>
      <c r="M691" s="110">
        <f>IF(L691="",I691,(MIN(J691,(L691*1.6*J691))))</f>
        <v>464</v>
      </c>
      <c r="N691" s="111">
        <f>IF(M691=0,0,(M691/J691))</f>
        <v>0.88380952380952382</v>
      </c>
    </row>
    <row r="692" spans="2:14">
      <c r="B692" s="72">
        <v>127722</v>
      </c>
      <c r="C692" s="47" t="s">
        <v>268</v>
      </c>
      <c r="D692" s="123">
        <f>SUMIF(B$3:B$3844,B692,M$3:M$3844)/(SUMIF(B$3:B$3844,B692,J$3:J$3844))</f>
        <v>0.76143103246416566</v>
      </c>
      <c r="E692" s="47">
        <v>36777</v>
      </c>
      <c r="F692" s="48" t="s">
        <v>338</v>
      </c>
      <c r="G692" s="47"/>
      <c r="H692" s="47"/>
      <c r="I692" s="40">
        <v>389</v>
      </c>
      <c r="J692" s="40">
        <v>442</v>
      </c>
      <c r="K692" s="118"/>
      <c r="L692" s="119"/>
      <c r="M692" s="110">
        <f>IF(L692="",I692,(MIN(J692,(L692*1.6*J692))))</f>
        <v>389</v>
      </c>
      <c r="N692" s="111">
        <f>IF(M692=0,0,(M692/J692))</f>
        <v>0.88009049773755654</v>
      </c>
    </row>
    <row r="693" spans="2:14">
      <c r="B693" s="73">
        <v>127722</v>
      </c>
      <c r="C693" s="23" t="s">
        <v>268</v>
      </c>
      <c r="D693" s="123">
        <f>SUMIF(B$3:B$3844,B693,M$3:M$3844)/(SUMIF(B$3:B$3844,B693,J$3:J$3844))</f>
        <v>0.76143103246416566</v>
      </c>
      <c r="E693" s="23">
        <v>36626</v>
      </c>
      <c r="F693" s="46" t="s">
        <v>339</v>
      </c>
      <c r="G693" s="23"/>
      <c r="H693" s="23"/>
      <c r="I693" s="41">
        <v>707</v>
      </c>
      <c r="J693" s="41">
        <v>775</v>
      </c>
      <c r="K693" s="118"/>
      <c r="L693" s="119"/>
      <c r="M693" s="110">
        <f>IF(L693="",I693,(MIN(J693,(L693*1.6*J693))))</f>
        <v>707</v>
      </c>
      <c r="N693" s="111">
        <f>IF(M693=0,0,(M693/J693))</f>
        <v>0.91225806451612901</v>
      </c>
    </row>
    <row r="694" spans="2:14">
      <c r="B694" s="72">
        <v>127722</v>
      </c>
      <c r="C694" s="47" t="s">
        <v>268</v>
      </c>
      <c r="D694" s="123">
        <f>SUMIF(B$3:B$3844,B694,M$3:M$3844)/(SUMIF(B$3:B$3844,B694,J$3:J$3844))</f>
        <v>0.76143103246416566</v>
      </c>
      <c r="E694" s="47">
        <v>36326</v>
      </c>
      <c r="F694" s="48" t="s">
        <v>81</v>
      </c>
      <c r="G694" s="47"/>
      <c r="H694" s="47"/>
      <c r="I694" s="40">
        <v>581</v>
      </c>
      <c r="J694" s="40">
        <v>647</v>
      </c>
      <c r="K694" s="118"/>
      <c r="L694" s="119"/>
      <c r="M694" s="110">
        <f>IF(L694="",I694,(MIN(J694,(L694*1.6*J694))))</f>
        <v>581</v>
      </c>
      <c r="N694" s="111">
        <f>IF(M694=0,0,(M694/J694))</f>
        <v>0.89799072642967548</v>
      </c>
    </row>
    <row r="695" spans="2:14">
      <c r="B695" s="73">
        <v>127722</v>
      </c>
      <c r="C695" s="23" t="s">
        <v>268</v>
      </c>
      <c r="D695" s="123">
        <f>SUMIF(B$3:B$3844,B695,M$3:M$3844)/(SUMIF(B$3:B$3844,B695,J$3:J$3844))</f>
        <v>0.76143103246416566</v>
      </c>
      <c r="E695" s="23">
        <v>36463</v>
      </c>
      <c r="F695" s="46" t="s">
        <v>340</v>
      </c>
      <c r="G695" s="23"/>
      <c r="H695" s="23"/>
      <c r="I695" s="41">
        <v>778</v>
      </c>
      <c r="J695" s="41">
        <v>805</v>
      </c>
      <c r="K695" s="118"/>
      <c r="L695" s="119"/>
      <c r="M695" s="110">
        <f>IF(L695="",I695,(MIN(J695,(L695*1.6*J695))))</f>
        <v>778</v>
      </c>
      <c r="N695" s="111">
        <f>IF(M695=0,0,(M695/J695))</f>
        <v>0.96645962732919255</v>
      </c>
    </row>
    <row r="696" spans="2:14">
      <c r="B696" s="72">
        <v>127722</v>
      </c>
      <c r="C696" s="47" t="s">
        <v>268</v>
      </c>
      <c r="D696" s="123">
        <f>SUMIF(B$3:B$3844,B696,M$3:M$3844)/(SUMIF(B$3:B$3844,B696,J$3:J$3844))</f>
        <v>0.76143103246416566</v>
      </c>
      <c r="E696" s="47">
        <v>37003</v>
      </c>
      <c r="F696" s="48" t="s">
        <v>341</v>
      </c>
      <c r="G696" s="47"/>
      <c r="H696" s="47"/>
      <c r="I696" s="40">
        <v>393</v>
      </c>
      <c r="J696" s="40">
        <v>574</v>
      </c>
      <c r="K696" s="118"/>
      <c r="L696" s="119"/>
      <c r="M696" s="110">
        <f>IF(L696="",I696,(MIN(J696,(L696*1.6*J696))))</f>
        <v>393</v>
      </c>
      <c r="N696" s="111">
        <f>IF(M696=0,0,(M696/J696))</f>
        <v>0.68466898954703836</v>
      </c>
    </row>
    <row r="697" spans="2:14">
      <c r="B697" s="73">
        <v>127722</v>
      </c>
      <c r="C697" s="23" t="s">
        <v>268</v>
      </c>
      <c r="D697" s="123">
        <f>SUMIF(B$3:B$3844,B697,M$3:M$3844)/(SUMIF(B$3:B$3844,B697,J$3:J$3844))</f>
        <v>0.76143103246416566</v>
      </c>
      <c r="E697" s="23">
        <v>36947</v>
      </c>
      <c r="F697" s="46" t="s">
        <v>342</v>
      </c>
      <c r="G697" s="23"/>
      <c r="H697" s="23"/>
      <c r="I697" s="41">
        <v>553</v>
      </c>
      <c r="J697" s="41">
        <v>578</v>
      </c>
      <c r="K697" s="118"/>
      <c r="L697" s="119"/>
      <c r="M697" s="110">
        <f>IF(L697="",I697,(MIN(J697,(L697*1.6*J697))))</f>
        <v>553</v>
      </c>
      <c r="N697" s="111">
        <f>IF(M697=0,0,(M697/J697))</f>
        <v>0.95674740484429066</v>
      </c>
    </row>
    <row r="698" spans="2:14">
      <c r="B698" s="72">
        <v>127722</v>
      </c>
      <c r="C698" s="47" t="s">
        <v>268</v>
      </c>
      <c r="D698" s="123">
        <f>SUMIF(B$3:B$3844,B698,M$3:M$3844)/(SUMIF(B$3:B$3844,B698,J$3:J$3844))</f>
        <v>0.76143103246416566</v>
      </c>
      <c r="E698" s="47">
        <v>36899</v>
      </c>
      <c r="F698" s="48" t="s">
        <v>343</v>
      </c>
      <c r="G698" s="47"/>
      <c r="H698" s="47"/>
      <c r="I698" s="40">
        <v>518</v>
      </c>
      <c r="J698" s="40">
        <v>551</v>
      </c>
      <c r="K698" s="118"/>
      <c r="L698" s="119"/>
      <c r="M698" s="110">
        <f>IF(L698="",I698,(MIN(J698,(L698*1.6*J698))))</f>
        <v>518</v>
      </c>
      <c r="N698" s="111">
        <f>IF(M698=0,0,(M698/J698))</f>
        <v>0.94010889292196009</v>
      </c>
    </row>
    <row r="699" spans="2:14">
      <c r="B699" s="73">
        <v>127722</v>
      </c>
      <c r="C699" s="23" t="s">
        <v>268</v>
      </c>
      <c r="D699" s="123">
        <f>SUMIF(B$3:B$3844,B699,M$3:M$3844)/(SUMIF(B$3:B$3844,B699,J$3:J$3844))</f>
        <v>0.76143103246416566</v>
      </c>
      <c r="E699" s="23">
        <v>36352</v>
      </c>
      <c r="F699" s="46" t="s">
        <v>344</v>
      </c>
      <c r="G699" s="23"/>
      <c r="H699" s="23"/>
      <c r="I699" s="41">
        <v>763</v>
      </c>
      <c r="J699" s="41">
        <v>917</v>
      </c>
      <c r="K699" s="118"/>
      <c r="L699" s="119"/>
      <c r="M699" s="110">
        <f>IF(L699="",I699,(MIN(J699,(L699*1.6*J699))))</f>
        <v>763</v>
      </c>
      <c r="N699" s="111">
        <f>IF(M699=0,0,(M699/J699))</f>
        <v>0.83206106870229013</v>
      </c>
    </row>
    <row r="700" spans="2:14">
      <c r="B700" s="72">
        <v>127722</v>
      </c>
      <c r="C700" s="47" t="s">
        <v>268</v>
      </c>
      <c r="D700" s="123">
        <f>SUMIF(B$3:B$3844,B700,M$3:M$3844)/(SUMIF(B$3:B$3844,B700,J$3:J$3844))</f>
        <v>0.76143103246416566</v>
      </c>
      <c r="E700" s="47">
        <v>37055</v>
      </c>
      <c r="F700" s="48" t="s">
        <v>345</v>
      </c>
      <c r="G700" s="47"/>
      <c r="H700" s="47"/>
      <c r="I700" s="40">
        <v>811</v>
      </c>
      <c r="J700" s="40">
        <v>1092</v>
      </c>
      <c r="K700" s="118"/>
      <c r="L700" s="119"/>
      <c r="M700" s="110">
        <f>IF(L700="",I700,(MIN(J700,(L700*1.6*J700))))</f>
        <v>811</v>
      </c>
      <c r="N700" s="111">
        <f>IF(M700=0,0,(M700/J700))</f>
        <v>0.7426739926739927</v>
      </c>
    </row>
    <row r="701" spans="2:14">
      <c r="B701" s="73">
        <v>127722</v>
      </c>
      <c r="C701" s="23" t="s">
        <v>268</v>
      </c>
      <c r="D701" s="123">
        <f>SUMIF(B$3:B$3844,B701,M$3:M$3844)/(SUMIF(B$3:B$3844,B701,J$3:J$3844))</f>
        <v>0.76143103246416566</v>
      </c>
      <c r="E701" s="23">
        <v>36498</v>
      </c>
      <c r="F701" s="46" t="s">
        <v>346</v>
      </c>
      <c r="G701" s="23"/>
      <c r="H701" s="23"/>
      <c r="I701" s="41">
        <v>250</v>
      </c>
      <c r="J701" s="41">
        <v>253</v>
      </c>
      <c r="K701" s="118"/>
      <c r="L701" s="119"/>
      <c r="M701" s="110">
        <f>IF(L701="",I701,(MIN(J701,(L701*1.6*J701))))</f>
        <v>250</v>
      </c>
      <c r="N701" s="111">
        <f>IF(M701=0,0,(M701/J701))</f>
        <v>0.98814229249011853</v>
      </c>
    </row>
    <row r="702" spans="2:14">
      <c r="B702" s="72">
        <v>127722</v>
      </c>
      <c r="C702" s="47" t="s">
        <v>268</v>
      </c>
      <c r="D702" s="123">
        <f>SUMIF(B$3:B$3844,B702,M$3:M$3844)/(SUMIF(B$3:B$3844,B702,J$3:J$3844))</f>
        <v>0.76143103246416566</v>
      </c>
      <c r="E702" s="47">
        <v>36346</v>
      </c>
      <c r="F702" s="48" t="s">
        <v>347</v>
      </c>
      <c r="G702" s="47"/>
      <c r="H702" s="47"/>
      <c r="I702" s="40">
        <v>780</v>
      </c>
      <c r="J702" s="40">
        <v>943</v>
      </c>
      <c r="K702" s="118"/>
      <c r="L702" s="119"/>
      <c r="M702" s="110">
        <f>IF(L702="",I702,(MIN(J702,(L702*1.6*J702))))</f>
        <v>780</v>
      </c>
      <c r="N702" s="111">
        <f>IF(M702=0,0,(M702/J702))</f>
        <v>0.82714740190880165</v>
      </c>
    </row>
    <row r="703" spans="2:14">
      <c r="B703" s="73">
        <v>127722</v>
      </c>
      <c r="C703" s="23" t="s">
        <v>268</v>
      </c>
      <c r="D703" s="123">
        <f>SUMIF(B$3:B$3844,B703,M$3:M$3844)/(SUMIF(B$3:B$3844,B703,J$3:J$3844))</f>
        <v>0.76143103246416566</v>
      </c>
      <c r="E703" s="23">
        <v>16036311</v>
      </c>
      <c r="F703" s="46" t="s">
        <v>348</v>
      </c>
      <c r="G703" s="23"/>
      <c r="H703" s="23"/>
      <c r="I703" s="41">
        <v>1291</v>
      </c>
      <c r="J703" s="41">
        <v>1644</v>
      </c>
      <c r="K703" s="118"/>
      <c r="L703" s="119"/>
      <c r="M703" s="110">
        <f>IF(L703="",I703,(MIN(J703,(L703*1.6*J703))))</f>
        <v>1291</v>
      </c>
      <c r="N703" s="111">
        <f>IF(M703=0,0,(M703/J703))</f>
        <v>0.78527980535279807</v>
      </c>
    </row>
    <row r="704" spans="2:14">
      <c r="B704" s="72">
        <v>127722</v>
      </c>
      <c r="C704" s="47" t="s">
        <v>268</v>
      </c>
      <c r="D704" s="123">
        <f>SUMIF(B$3:B$3844,B704,M$3:M$3844)/(SUMIF(B$3:B$3844,B704,J$3:J$3844))</f>
        <v>0.76143103246416566</v>
      </c>
      <c r="E704" s="47">
        <v>36946</v>
      </c>
      <c r="F704" s="48" t="s">
        <v>349</v>
      </c>
      <c r="G704" s="47"/>
      <c r="H704" s="47"/>
      <c r="I704" s="40">
        <v>552</v>
      </c>
      <c r="J704" s="40">
        <v>590</v>
      </c>
      <c r="K704" s="118"/>
      <c r="L704" s="119"/>
      <c r="M704" s="110">
        <f>IF(L704="",I704,(MIN(J704,(L704*1.6*J704))))</f>
        <v>552</v>
      </c>
      <c r="N704" s="111">
        <f>IF(M704=0,0,(M704/J704))</f>
        <v>0.93559322033898307</v>
      </c>
    </row>
    <row r="705" spans="2:14">
      <c r="B705" s="73">
        <v>127722</v>
      </c>
      <c r="C705" s="23" t="s">
        <v>268</v>
      </c>
      <c r="D705" s="123">
        <f>SUMIF(B$3:B$3844,B705,M$3:M$3844)/(SUMIF(B$3:B$3844,B705,J$3:J$3844))</f>
        <v>0.76143103246416566</v>
      </c>
      <c r="E705" s="23">
        <v>36985</v>
      </c>
      <c r="F705" s="46" t="s">
        <v>350</v>
      </c>
      <c r="G705" s="23"/>
      <c r="H705" s="23"/>
      <c r="I705" s="41">
        <v>403</v>
      </c>
      <c r="J705" s="41">
        <v>542</v>
      </c>
      <c r="K705" s="118"/>
      <c r="L705" s="119"/>
      <c r="M705" s="110">
        <f>IF(L705="",I705,(MIN(J705,(L705*1.6*J705))))</f>
        <v>403</v>
      </c>
      <c r="N705" s="111">
        <f>IF(M705=0,0,(M705/J705))</f>
        <v>0.74354243542435428</v>
      </c>
    </row>
    <row r="706" spans="2:14">
      <c r="B706" s="72">
        <v>127722</v>
      </c>
      <c r="C706" s="47" t="s">
        <v>268</v>
      </c>
      <c r="D706" s="123">
        <f>SUMIF(B$3:B$3844,B706,M$3:M$3844)/(SUMIF(B$3:B$3844,B706,J$3:J$3844))</f>
        <v>0.76143103246416566</v>
      </c>
      <c r="E706" s="47">
        <v>36892</v>
      </c>
      <c r="F706" s="48" t="s">
        <v>351</v>
      </c>
      <c r="G706" s="47"/>
      <c r="H706" s="47"/>
      <c r="I706" s="40">
        <v>682</v>
      </c>
      <c r="J706" s="40">
        <v>750</v>
      </c>
      <c r="K706" s="118"/>
      <c r="L706" s="119"/>
      <c r="M706" s="110">
        <f>IF(L706="",I706,(MIN(J706,(L706*1.6*J706))))</f>
        <v>682</v>
      </c>
      <c r="N706" s="111">
        <f>IF(M706=0,0,(M706/J706))</f>
        <v>0.90933333333333333</v>
      </c>
    </row>
    <row r="707" spans="2:14">
      <c r="B707" s="73">
        <v>127722</v>
      </c>
      <c r="C707" s="23" t="s">
        <v>268</v>
      </c>
      <c r="D707" s="123">
        <f>SUMIF(B$3:B$3844,B707,M$3:M$3844)/(SUMIF(B$3:B$3844,B707,J$3:J$3844))</f>
        <v>0.76143103246416566</v>
      </c>
      <c r="E707" s="23">
        <v>37062</v>
      </c>
      <c r="F707" s="46" t="s">
        <v>352</v>
      </c>
      <c r="G707" s="23"/>
      <c r="H707" s="23"/>
      <c r="I707" s="41">
        <v>592</v>
      </c>
      <c r="J707" s="41">
        <v>707</v>
      </c>
      <c r="K707" s="118"/>
      <c r="L707" s="119"/>
      <c r="M707" s="110">
        <f>IF(L707="",I707,(MIN(J707,(L707*1.6*J707))))</f>
        <v>592</v>
      </c>
      <c r="N707" s="111">
        <f>IF(M707=0,0,(M707/J707))</f>
        <v>0.83734087694483739</v>
      </c>
    </row>
    <row r="708" spans="2:14">
      <c r="B708" s="72">
        <v>127722</v>
      </c>
      <c r="C708" s="47" t="s">
        <v>268</v>
      </c>
      <c r="D708" s="123">
        <f>SUMIF(B$3:B$3844,B708,M$3:M$3844)/(SUMIF(B$3:B$3844,B708,J$3:J$3844))</f>
        <v>0.76143103246416566</v>
      </c>
      <c r="E708" s="47">
        <v>36625</v>
      </c>
      <c r="F708" s="48" t="s">
        <v>353</v>
      </c>
      <c r="G708" s="47"/>
      <c r="H708" s="47"/>
      <c r="I708" s="40">
        <v>829</v>
      </c>
      <c r="J708" s="40">
        <v>972</v>
      </c>
      <c r="K708" s="118"/>
      <c r="L708" s="119"/>
      <c r="M708" s="110">
        <f>IF(L708="",I708,(MIN(J708,(L708*1.6*J708))))</f>
        <v>829</v>
      </c>
      <c r="N708" s="111">
        <f>IF(M708=0,0,(M708/J708))</f>
        <v>0.85288065843621397</v>
      </c>
    </row>
    <row r="709" spans="2:14">
      <c r="B709" s="73">
        <v>127722</v>
      </c>
      <c r="C709" s="23" t="s">
        <v>268</v>
      </c>
      <c r="D709" s="123">
        <f>SUMIF(B$3:B$3844,B709,M$3:M$3844)/(SUMIF(B$3:B$3844,B709,J$3:J$3844))</f>
        <v>0.76143103246416566</v>
      </c>
      <c r="E709" s="23">
        <v>36982</v>
      </c>
      <c r="F709" s="46" t="s">
        <v>354</v>
      </c>
      <c r="G709" s="23"/>
      <c r="H709" s="23"/>
      <c r="I709" s="41">
        <v>426</v>
      </c>
      <c r="J709" s="41">
        <v>572</v>
      </c>
      <c r="K709" s="118"/>
      <c r="L709" s="119"/>
      <c r="M709" s="110">
        <f>IF(L709="",I709,(MIN(J709,(L709*1.6*J709))))</f>
        <v>426</v>
      </c>
      <c r="N709" s="111">
        <f>IF(M709=0,0,(M709/J709))</f>
        <v>0.74475524475524479</v>
      </c>
    </row>
    <row r="710" spans="2:14">
      <c r="B710" s="72">
        <v>127722</v>
      </c>
      <c r="C710" s="47" t="s">
        <v>268</v>
      </c>
      <c r="D710" s="123">
        <f>SUMIF(B$3:B$3844,B710,M$3:M$3844)/(SUMIF(B$3:B$3844,B710,J$3:J$3844))</f>
        <v>0.76143103246416566</v>
      </c>
      <c r="E710" s="47">
        <v>36636</v>
      </c>
      <c r="F710" s="48" t="s">
        <v>355</v>
      </c>
      <c r="G710" s="47"/>
      <c r="H710" s="47"/>
      <c r="I710" s="40">
        <v>481</v>
      </c>
      <c r="J710" s="40">
        <v>498</v>
      </c>
      <c r="K710" s="118"/>
      <c r="L710" s="119"/>
      <c r="M710" s="110">
        <f>IF(L710="",I710,(MIN(J710,(L710*1.6*J710))))</f>
        <v>481</v>
      </c>
      <c r="N710" s="111">
        <f>IF(M710=0,0,(M710/J710))</f>
        <v>0.96586345381526106</v>
      </c>
    </row>
    <row r="711" spans="2:14">
      <c r="B711" s="73">
        <v>127722</v>
      </c>
      <c r="C711" s="23" t="s">
        <v>268</v>
      </c>
      <c r="D711" s="123">
        <f>SUMIF(B$3:B$3844,B711,M$3:M$3844)/(SUMIF(B$3:B$3844,B711,J$3:J$3844))</f>
        <v>0.76143103246416566</v>
      </c>
      <c r="E711" s="23">
        <v>36300</v>
      </c>
      <c r="F711" s="46" t="s">
        <v>356</v>
      </c>
      <c r="G711" s="23"/>
      <c r="H711" s="23"/>
      <c r="I711" s="41">
        <v>593</v>
      </c>
      <c r="J711" s="41">
        <v>637</v>
      </c>
      <c r="K711" s="118"/>
      <c r="L711" s="119"/>
      <c r="M711" s="110">
        <f>IF(L711="",I711,(MIN(J711,(L711*1.6*J711))))</f>
        <v>593</v>
      </c>
      <c r="N711" s="111">
        <f>IF(M711=0,0,(M711/J711))</f>
        <v>0.93092621664050235</v>
      </c>
    </row>
    <row r="712" spans="2:14">
      <c r="B712" s="72">
        <v>127722</v>
      </c>
      <c r="C712" s="47" t="s">
        <v>268</v>
      </c>
      <c r="D712" s="123">
        <f>SUMIF(B$3:B$3844,B712,M$3:M$3844)/(SUMIF(B$3:B$3844,B712,J$3:J$3844))</f>
        <v>0.76143103246416566</v>
      </c>
      <c r="E712" s="47">
        <v>16036312</v>
      </c>
      <c r="F712" s="48" t="s">
        <v>357</v>
      </c>
      <c r="G712" s="47"/>
      <c r="H712" s="47"/>
      <c r="I712" s="40">
        <v>1101</v>
      </c>
      <c r="J712" s="40">
        <v>1268</v>
      </c>
      <c r="K712" s="118"/>
      <c r="L712" s="119"/>
      <c r="M712" s="110">
        <f>IF(L712="",I712,(MIN(J712,(L712*1.6*J712))))</f>
        <v>1101</v>
      </c>
      <c r="N712" s="111">
        <f>IF(M712=0,0,(M712/J712))</f>
        <v>0.8682965299684543</v>
      </c>
    </row>
    <row r="713" spans="2:14">
      <c r="B713" s="73">
        <v>127722</v>
      </c>
      <c r="C713" s="23" t="s">
        <v>268</v>
      </c>
      <c r="D713" s="123">
        <f>SUMIF(B$3:B$3844,B713,M$3:M$3844)/(SUMIF(B$3:B$3844,B713,J$3:J$3844))</f>
        <v>0.76143103246416566</v>
      </c>
      <c r="E713" s="23">
        <v>36956</v>
      </c>
      <c r="F713" s="46" t="s">
        <v>358</v>
      </c>
      <c r="G713" s="23"/>
      <c r="H713" s="23"/>
      <c r="I713" s="41">
        <v>492</v>
      </c>
      <c r="J713" s="41">
        <v>544</v>
      </c>
      <c r="K713" s="118"/>
      <c r="L713" s="119"/>
      <c r="M713" s="110">
        <f>IF(L713="",I713,(MIN(J713,(L713*1.6*J713))))</f>
        <v>492</v>
      </c>
      <c r="N713" s="111">
        <f>IF(M713=0,0,(M713/J713))</f>
        <v>0.90441176470588236</v>
      </c>
    </row>
    <row r="714" spans="2:14">
      <c r="B714" s="72">
        <v>127722</v>
      </c>
      <c r="C714" s="47" t="s">
        <v>268</v>
      </c>
      <c r="D714" s="123">
        <f>SUMIF(B$3:B$3844,B714,M$3:M$3844)/(SUMIF(B$3:B$3844,B714,J$3:J$3844))</f>
        <v>0.76143103246416566</v>
      </c>
      <c r="E714" s="47">
        <v>37023</v>
      </c>
      <c r="F714" s="48" t="s">
        <v>359</v>
      </c>
      <c r="G714" s="47"/>
      <c r="H714" s="47"/>
      <c r="I714" s="40">
        <v>376</v>
      </c>
      <c r="J714" s="40">
        <v>718</v>
      </c>
      <c r="K714" s="118"/>
      <c r="L714" s="119"/>
      <c r="M714" s="110">
        <f>IF(L714="",I714,(MIN(J714,(L714*1.6*J714))))</f>
        <v>376</v>
      </c>
      <c r="N714" s="111">
        <f>IF(M714=0,0,(M714/J714))</f>
        <v>0.5236768802228412</v>
      </c>
    </row>
    <row r="715" spans="2:14">
      <c r="B715" s="73">
        <v>127722</v>
      </c>
      <c r="C715" s="23" t="s">
        <v>268</v>
      </c>
      <c r="D715" s="123">
        <f>SUMIF(B$3:B$3844,B715,M$3:M$3844)/(SUMIF(B$3:B$3844,B715,J$3:J$3844))</f>
        <v>0.76143103246416566</v>
      </c>
      <c r="E715" s="23">
        <v>36820</v>
      </c>
      <c r="F715" s="46" t="s">
        <v>360</v>
      </c>
      <c r="G715" s="23"/>
      <c r="H715" s="23"/>
      <c r="I715" s="41">
        <v>539</v>
      </c>
      <c r="J715" s="41">
        <v>545</v>
      </c>
      <c r="K715" s="118"/>
      <c r="L715" s="119"/>
      <c r="M715" s="110">
        <f>IF(L715="",I715,(MIN(J715,(L715*1.6*J715))))</f>
        <v>539</v>
      </c>
      <c r="N715" s="111">
        <f>IF(M715=0,0,(M715/J715))</f>
        <v>0.98899082568807339</v>
      </c>
    </row>
    <row r="716" spans="2:14">
      <c r="B716" s="72">
        <v>127722</v>
      </c>
      <c r="C716" s="47" t="s">
        <v>268</v>
      </c>
      <c r="D716" s="123">
        <f>SUMIF(B$3:B$3844,B716,M$3:M$3844)/(SUMIF(B$3:B$3844,B716,J$3:J$3844))</f>
        <v>0.76143103246416566</v>
      </c>
      <c r="E716" s="47">
        <v>36984</v>
      </c>
      <c r="F716" s="48" t="s">
        <v>361</v>
      </c>
      <c r="G716" s="47"/>
      <c r="H716" s="47"/>
      <c r="I716" s="40">
        <v>577</v>
      </c>
      <c r="J716" s="40">
        <v>711</v>
      </c>
      <c r="K716" s="118"/>
      <c r="L716" s="119"/>
      <c r="M716" s="110">
        <f>IF(L716="",I716,(MIN(J716,(L716*1.6*J716))))</f>
        <v>577</v>
      </c>
      <c r="N716" s="111">
        <f>IF(M716=0,0,(M716/J716))</f>
        <v>0.8115330520393812</v>
      </c>
    </row>
    <row r="717" spans="2:14">
      <c r="B717" s="73">
        <v>127722</v>
      </c>
      <c r="C717" s="23" t="s">
        <v>268</v>
      </c>
      <c r="D717" s="123">
        <f>SUMIF(B$3:B$3844,B717,M$3:M$3844)/(SUMIF(B$3:B$3844,B717,J$3:J$3844))</f>
        <v>0.76143103246416566</v>
      </c>
      <c r="E717" s="23">
        <v>37071</v>
      </c>
      <c r="F717" s="46" t="s">
        <v>362</v>
      </c>
      <c r="G717" s="23"/>
      <c r="H717" s="23"/>
      <c r="I717" s="41">
        <v>531</v>
      </c>
      <c r="J717" s="41">
        <v>738</v>
      </c>
      <c r="K717" s="118"/>
      <c r="L717" s="119"/>
      <c r="M717" s="110">
        <f>IF(L717="",I717,(MIN(J717,(L717*1.6*J717))))</f>
        <v>531</v>
      </c>
      <c r="N717" s="111">
        <f>IF(M717=0,0,(M717/J717))</f>
        <v>0.71951219512195119</v>
      </c>
    </row>
    <row r="718" spans="2:14" ht="30">
      <c r="B718" s="72">
        <v>127722</v>
      </c>
      <c r="C718" s="47" t="s">
        <v>268</v>
      </c>
      <c r="D718" s="123">
        <f>SUMIF(B$3:B$3844,B718,M$3:M$3844)/(SUMIF(B$3:B$3844,B718,J$3:J$3844))</f>
        <v>0.76143103246416566</v>
      </c>
      <c r="E718" s="47">
        <v>36822</v>
      </c>
      <c r="F718" s="48" t="s">
        <v>363</v>
      </c>
      <c r="G718" s="47"/>
      <c r="H718" s="47"/>
      <c r="I718" s="40">
        <v>64</v>
      </c>
      <c r="J718" s="40">
        <v>68</v>
      </c>
      <c r="K718" s="118"/>
      <c r="L718" s="119"/>
      <c r="M718" s="110">
        <f>IF(L718="",I718,(MIN(J718,(L718*1.6*J718))))</f>
        <v>64</v>
      </c>
      <c r="N718" s="111">
        <f>IF(M718=0,0,(M718/J718))</f>
        <v>0.94117647058823528</v>
      </c>
    </row>
    <row r="719" spans="2:14">
      <c r="B719" s="73">
        <v>127722</v>
      </c>
      <c r="C719" s="23" t="s">
        <v>268</v>
      </c>
      <c r="D719" s="123">
        <f>SUMIF(B$3:B$3844,B719,M$3:M$3844)/(SUMIF(B$3:B$3844,B719,J$3:J$3844))</f>
        <v>0.76143103246416566</v>
      </c>
      <c r="E719" s="23">
        <v>36855</v>
      </c>
      <c r="F719" s="46" t="s">
        <v>364</v>
      </c>
      <c r="G719" s="23"/>
      <c r="H719" s="23"/>
      <c r="I719" s="41">
        <v>269</v>
      </c>
      <c r="J719" s="41">
        <v>640</v>
      </c>
      <c r="K719" s="118"/>
      <c r="L719" s="119"/>
      <c r="M719" s="110">
        <f>IF(L719="",I719,(MIN(J719,(L719*1.6*J719))))</f>
        <v>269</v>
      </c>
      <c r="N719" s="111">
        <f>IF(M719=0,0,(M719/J719))</f>
        <v>0.42031249999999998</v>
      </c>
    </row>
    <row r="720" spans="2:14">
      <c r="B720" s="72">
        <v>127722</v>
      </c>
      <c r="C720" s="47" t="s">
        <v>268</v>
      </c>
      <c r="D720" s="123">
        <f>SUMIF(B$3:B$3844,B720,M$3:M$3844)/(SUMIF(B$3:B$3844,B720,J$3:J$3844))</f>
        <v>0.76143103246416566</v>
      </c>
      <c r="E720" s="47">
        <v>37018</v>
      </c>
      <c r="F720" s="48" t="s">
        <v>365</v>
      </c>
      <c r="G720" s="47"/>
      <c r="H720" s="47"/>
      <c r="I720" s="40">
        <v>618</v>
      </c>
      <c r="J720" s="40">
        <v>694</v>
      </c>
      <c r="K720" s="118"/>
      <c r="L720" s="119"/>
      <c r="M720" s="110">
        <f>IF(L720="",I720,(MIN(J720,(L720*1.6*J720))))</f>
        <v>618</v>
      </c>
      <c r="N720" s="111">
        <f>IF(M720=0,0,(M720/J720))</f>
        <v>0.89048991354466855</v>
      </c>
    </row>
    <row r="721" spans="2:14">
      <c r="B721" s="73">
        <v>127722</v>
      </c>
      <c r="C721" s="23" t="s">
        <v>268</v>
      </c>
      <c r="D721" s="123">
        <f>SUMIF(B$3:B$3844,B721,M$3:M$3844)/(SUMIF(B$3:B$3844,B721,J$3:J$3844))</f>
        <v>0.76143103246416566</v>
      </c>
      <c r="E721" s="23">
        <v>36996</v>
      </c>
      <c r="F721" s="46" t="s">
        <v>366</v>
      </c>
      <c r="G721" s="23"/>
      <c r="H721" s="23"/>
      <c r="I721" s="41">
        <v>310</v>
      </c>
      <c r="J721" s="41">
        <v>560</v>
      </c>
      <c r="K721" s="118"/>
      <c r="L721" s="119"/>
      <c r="M721" s="110">
        <f>IF(L721="",I721,(MIN(J721,(L721*1.6*J721))))</f>
        <v>310</v>
      </c>
      <c r="N721" s="111">
        <f>IF(M721=0,0,(M721/J721))</f>
        <v>0.5535714285714286</v>
      </c>
    </row>
    <row r="722" spans="2:14">
      <c r="B722" s="72">
        <v>127722</v>
      </c>
      <c r="C722" s="47" t="s">
        <v>268</v>
      </c>
      <c r="D722" s="123">
        <f>SUMIF(B$3:B$3844,B722,M$3:M$3844)/(SUMIF(B$3:B$3844,B722,J$3:J$3844))</f>
        <v>0.76143103246416566</v>
      </c>
      <c r="E722" s="47">
        <v>37041</v>
      </c>
      <c r="F722" s="48" t="s">
        <v>367</v>
      </c>
      <c r="G722" s="47"/>
      <c r="H722" s="47"/>
      <c r="I722" s="40">
        <v>612</v>
      </c>
      <c r="J722" s="40">
        <v>777</v>
      </c>
      <c r="K722" s="118"/>
      <c r="L722" s="119"/>
      <c r="M722" s="110">
        <f>IF(L722="",I722,(MIN(J722,(L722*1.6*J722))))</f>
        <v>612</v>
      </c>
      <c r="N722" s="111">
        <f>IF(M722=0,0,(M722/J722))</f>
        <v>0.78764478764478763</v>
      </c>
    </row>
    <row r="723" spans="2:14">
      <c r="B723" s="73">
        <v>127722</v>
      </c>
      <c r="C723" s="23" t="s">
        <v>268</v>
      </c>
      <c r="D723" s="123">
        <f>SUMIF(B$3:B$3844,B723,M$3:M$3844)/(SUMIF(B$3:B$3844,B723,J$3:J$3844))</f>
        <v>0.76143103246416566</v>
      </c>
      <c r="E723" s="23">
        <v>36620</v>
      </c>
      <c r="F723" s="46" t="s">
        <v>368</v>
      </c>
      <c r="G723" s="23"/>
      <c r="H723" s="23"/>
      <c r="I723" s="41">
        <v>997</v>
      </c>
      <c r="J723" s="41">
        <v>1085</v>
      </c>
      <c r="K723" s="118"/>
      <c r="L723" s="119"/>
      <c r="M723" s="110">
        <f>IF(L723="",I723,(MIN(J723,(L723*1.6*J723))))</f>
        <v>997</v>
      </c>
      <c r="N723" s="111">
        <f>IF(M723=0,0,(M723/J723))</f>
        <v>0.91889400921658981</v>
      </c>
    </row>
    <row r="724" spans="2:14">
      <c r="B724" s="72">
        <v>127722</v>
      </c>
      <c r="C724" s="47" t="s">
        <v>268</v>
      </c>
      <c r="D724" s="123">
        <f>SUMIF(B$3:B$3844,B724,M$3:M$3844)/(SUMIF(B$3:B$3844,B724,J$3:J$3844))</f>
        <v>0.76143103246416566</v>
      </c>
      <c r="E724" s="47">
        <v>36857</v>
      </c>
      <c r="F724" s="48" t="s">
        <v>369</v>
      </c>
      <c r="G724" s="47"/>
      <c r="H724" s="47"/>
      <c r="I724" s="40">
        <v>632</v>
      </c>
      <c r="J724" s="40">
        <v>1068</v>
      </c>
      <c r="K724" s="118"/>
      <c r="L724" s="119"/>
      <c r="M724" s="110">
        <f>IF(L724="",I724,(MIN(J724,(L724*1.6*J724))))</f>
        <v>632</v>
      </c>
      <c r="N724" s="111">
        <f>IF(M724=0,0,(M724/J724))</f>
        <v>0.59176029962546817</v>
      </c>
    </row>
    <row r="725" spans="2:14">
      <c r="B725" s="73">
        <v>127722</v>
      </c>
      <c r="C725" s="23" t="s">
        <v>268</v>
      </c>
      <c r="D725" s="123">
        <f>SUMIF(B$3:B$3844,B725,M$3:M$3844)/(SUMIF(B$3:B$3844,B725,J$3:J$3844))</f>
        <v>0.76143103246416566</v>
      </c>
      <c r="E725" s="23">
        <v>36809</v>
      </c>
      <c r="F725" s="46" t="s">
        <v>370</v>
      </c>
      <c r="G725" s="23"/>
      <c r="H725" s="23"/>
      <c r="I725" s="41">
        <v>101</v>
      </c>
      <c r="J725" s="41">
        <v>1381</v>
      </c>
      <c r="K725" s="118"/>
      <c r="L725" s="119"/>
      <c r="M725" s="110">
        <f>IF(L725="",I725,(MIN(J725,(L725*1.6*J725))))</f>
        <v>101</v>
      </c>
      <c r="N725" s="111">
        <f>IF(M725=0,0,(M725/J725))</f>
        <v>7.3135409123823311E-2</v>
      </c>
    </row>
    <row r="726" spans="2:14">
      <c r="B726" s="72">
        <v>127722</v>
      </c>
      <c r="C726" s="47" t="s">
        <v>268</v>
      </c>
      <c r="D726" s="123">
        <f>SUMIF(B$3:B$3844,B726,M$3:M$3844)/(SUMIF(B$3:B$3844,B726,J$3:J$3844))</f>
        <v>0.76143103246416566</v>
      </c>
      <c r="E726" s="47">
        <v>36816</v>
      </c>
      <c r="F726" s="48" t="s">
        <v>125</v>
      </c>
      <c r="G726" s="47"/>
      <c r="H726" s="47"/>
      <c r="I726" s="40">
        <v>138</v>
      </c>
      <c r="J726" s="40">
        <v>140</v>
      </c>
      <c r="K726" s="118"/>
      <c r="L726" s="119"/>
      <c r="M726" s="110">
        <f>IF(L726="",I726,(MIN(J726,(L726*1.6*J726))))</f>
        <v>138</v>
      </c>
      <c r="N726" s="111">
        <f>IF(M726=0,0,(M726/J726))</f>
        <v>0.98571428571428577</v>
      </c>
    </row>
    <row r="727" spans="2:14">
      <c r="B727" s="73">
        <v>127722</v>
      </c>
      <c r="C727" s="23" t="s">
        <v>268</v>
      </c>
      <c r="D727" s="123">
        <f>SUMIF(B$3:B$3844,B727,M$3:M$3844)/(SUMIF(B$3:B$3844,B727,J$3:J$3844))</f>
        <v>0.76143103246416566</v>
      </c>
      <c r="E727" s="23">
        <v>36627</v>
      </c>
      <c r="F727" s="46" t="s">
        <v>371</v>
      </c>
      <c r="G727" s="23"/>
      <c r="H727" s="23"/>
      <c r="I727" s="41">
        <v>661</v>
      </c>
      <c r="J727" s="41">
        <v>709</v>
      </c>
      <c r="K727" s="118"/>
      <c r="L727" s="119"/>
      <c r="M727" s="110">
        <f>IF(L727="",I727,(MIN(J727,(L727*1.6*J727))))</f>
        <v>661</v>
      </c>
      <c r="N727" s="111">
        <f>IF(M727=0,0,(M727/J727))</f>
        <v>0.93229901269393511</v>
      </c>
    </row>
    <row r="728" spans="2:14">
      <c r="B728" s="72">
        <v>127722</v>
      </c>
      <c r="C728" s="47" t="s">
        <v>268</v>
      </c>
      <c r="D728" s="123">
        <f>SUMIF(B$3:B$3844,B728,M$3:M$3844)/(SUMIF(B$3:B$3844,B728,J$3:J$3844))</f>
        <v>0.76143103246416566</v>
      </c>
      <c r="E728" s="47">
        <v>36504</v>
      </c>
      <c r="F728" s="48" t="s">
        <v>372</v>
      </c>
      <c r="G728" s="47"/>
      <c r="H728" s="47"/>
      <c r="I728" s="40">
        <v>251</v>
      </c>
      <c r="J728" s="40">
        <v>262</v>
      </c>
      <c r="K728" s="118"/>
      <c r="L728" s="119"/>
      <c r="M728" s="110">
        <f>IF(L728="",I728,(MIN(J728,(L728*1.6*J728))))</f>
        <v>251</v>
      </c>
      <c r="N728" s="111">
        <f>IF(M728=0,0,(M728/J728))</f>
        <v>0.9580152671755725</v>
      </c>
    </row>
    <row r="729" spans="2:14">
      <c r="B729" s="73">
        <v>127722</v>
      </c>
      <c r="C729" s="23" t="s">
        <v>268</v>
      </c>
      <c r="D729" s="123">
        <f>SUMIF(B$3:B$3844,B729,M$3:M$3844)/(SUMIF(B$3:B$3844,B729,J$3:J$3844))</f>
        <v>0.76143103246416566</v>
      </c>
      <c r="E729" s="23">
        <v>36940</v>
      </c>
      <c r="F729" s="46" t="s">
        <v>373</v>
      </c>
      <c r="G729" s="23"/>
      <c r="H729" s="23"/>
      <c r="I729" s="41">
        <v>423</v>
      </c>
      <c r="J729" s="41">
        <v>424</v>
      </c>
      <c r="K729" s="118"/>
      <c r="L729" s="119"/>
      <c r="M729" s="110">
        <f>IF(L729="",I729,(MIN(J729,(L729*1.6*J729))))</f>
        <v>423</v>
      </c>
      <c r="N729" s="111">
        <f>IF(M729=0,0,(M729/J729))</f>
        <v>0.99764150943396224</v>
      </c>
    </row>
    <row r="730" spans="2:14">
      <c r="B730" s="72">
        <v>127722</v>
      </c>
      <c r="C730" s="47" t="s">
        <v>268</v>
      </c>
      <c r="D730" s="123">
        <f>SUMIF(B$3:B$3844,B730,M$3:M$3844)/(SUMIF(B$3:B$3844,B730,J$3:J$3844))</f>
        <v>0.76143103246416566</v>
      </c>
      <c r="E730" s="47">
        <v>37005</v>
      </c>
      <c r="F730" s="48" t="s">
        <v>374</v>
      </c>
      <c r="G730" s="47"/>
      <c r="H730" s="47"/>
      <c r="I730" s="40">
        <v>240</v>
      </c>
      <c r="J730" s="40">
        <v>813</v>
      </c>
      <c r="K730" s="118"/>
      <c r="L730" s="119"/>
      <c r="M730" s="110">
        <f>IF(L730="",I730,(MIN(J730,(L730*1.6*J730))))</f>
        <v>240</v>
      </c>
      <c r="N730" s="111">
        <f>IF(M730=0,0,(M730/J730))</f>
        <v>0.29520295202952029</v>
      </c>
    </row>
    <row r="731" spans="2:14">
      <c r="B731" s="73">
        <v>127722</v>
      </c>
      <c r="C731" s="23" t="s">
        <v>268</v>
      </c>
      <c r="D731" s="123">
        <f>SUMIF(B$3:B$3844,B731,M$3:M$3844)/(SUMIF(B$3:B$3844,B731,J$3:J$3844))</f>
        <v>0.76143103246416566</v>
      </c>
      <c r="E731" s="23">
        <v>169214</v>
      </c>
      <c r="F731" s="46" t="s">
        <v>375</v>
      </c>
      <c r="G731" s="23"/>
      <c r="H731" s="23"/>
      <c r="I731" s="41">
        <v>380</v>
      </c>
      <c r="J731" s="41">
        <v>654</v>
      </c>
      <c r="K731" s="118"/>
      <c r="L731" s="119"/>
      <c r="M731" s="110">
        <f>IF(L731="",I731,(MIN(J731,(L731*1.6*J731))))</f>
        <v>380</v>
      </c>
      <c r="N731" s="111">
        <f>IF(M731=0,0,(M731/J731))</f>
        <v>0.58103975535168195</v>
      </c>
    </row>
    <row r="732" spans="2:14">
      <c r="B732" s="72">
        <v>127722</v>
      </c>
      <c r="C732" s="47" t="s">
        <v>268</v>
      </c>
      <c r="D732" s="123">
        <f>SUMIF(B$3:B$3844,B732,M$3:M$3844)/(SUMIF(B$3:B$3844,B732,J$3:J$3844))</f>
        <v>0.76143103246416566</v>
      </c>
      <c r="E732" s="47">
        <v>36458</v>
      </c>
      <c r="F732" s="48" t="s">
        <v>376</v>
      </c>
      <c r="G732" s="47"/>
      <c r="H732" s="47"/>
      <c r="I732" s="40">
        <v>1034</v>
      </c>
      <c r="J732" s="40">
        <v>1061</v>
      </c>
      <c r="K732" s="118"/>
      <c r="L732" s="119"/>
      <c r="M732" s="110">
        <f>IF(L732="",I732,(MIN(J732,(L732*1.6*J732))))</f>
        <v>1034</v>
      </c>
      <c r="N732" s="111">
        <f>IF(M732=0,0,(M732/J732))</f>
        <v>0.97455230914231861</v>
      </c>
    </row>
    <row r="733" spans="2:14">
      <c r="B733" s="73">
        <v>127722</v>
      </c>
      <c r="C733" s="23" t="s">
        <v>268</v>
      </c>
      <c r="D733" s="123">
        <f>SUMIF(B$3:B$3844,B733,M$3:M$3844)/(SUMIF(B$3:B$3844,B733,J$3:J$3844))</f>
        <v>0.76143103246416566</v>
      </c>
      <c r="E733" s="23">
        <v>185122</v>
      </c>
      <c r="F733" s="46" t="s">
        <v>377</v>
      </c>
      <c r="G733" s="23"/>
      <c r="H733" s="23"/>
      <c r="I733" s="41">
        <v>799</v>
      </c>
      <c r="J733" s="41">
        <v>880</v>
      </c>
      <c r="K733" s="118"/>
      <c r="L733" s="119"/>
      <c r="M733" s="110">
        <f>IF(L733="",I733,(MIN(J733,(L733*1.6*J733))))</f>
        <v>799</v>
      </c>
      <c r="N733" s="111">
        <f>IF(M733=0,0,(M733/J733))</f>
        <v>0.90795454545454546</v>
      </c>
    </row>
    <row r="734" spans="2:14">
      <c r="B734" s="72">
        <v>127722</v>
      </c>
      <c r="C734" s="47" t="s">
        <v>268</v>
      </c>
      <c r="D734" s="123">
        <f>SUMIF(B$3:B$3844,B734,M$3:M$3844)/(SUMIF(B$3:B$3844,B734,J$3:J$3844))</f>
        <v>0.76143103246416566</v>
      </c>
      <c r="E734" s="47">
        <v>36448</v>
      </c>
      <c r="F734" s="48" t="s">
        <v>378</v>
      </c>
      <c r="G734" s="47"/>
      <c r="H734" s="47"/>
      <c r="I734" s="40">
        <v>686</v>
      </c>
      <c r="J734" s="40">
        <v>692</v>
      </c>
      <c r="K734" s="118"/>
      <c r="L734" s="119"/>
      <c r="M734" s="110">
        <f>IF(L734="",I734,(MIN(J734,(L734*1.6*J734))))</f>
        <v>686</v>
      </c>
      <c r="N734" s="111">
        <f>IF(M734=0,0,(M734/J734))</f>
        <v>0.99132947976878616</v>
      </c>
    </row>
    <row r="735" spans="2:14">
      <c r="B735" s="73">
        <v>127722</v>
      </c>
      <c r="C735" s="23" t="s">
        <v>268</v>
      </c>
      <c r="D735" s="123">
        <f>SUMIF(B$3:B$3844,B735,M$3:M$3844)/(SUMIF(B$3:B$3844,B735,J$3:J$3844))</f>
        <v>0.76143103246416566</v>
      </c>
      <c r="E735" s="23">
        <v>36803</v>
      </c>
      <c r="F735" s="46" t="s">
        <v>379</v>
      </c>
      <c r="G735" s="23"/>
      <c r="H735" s="23"/>
      <c r="I735" s="41">
        <v>457</v>
      </c>
      <c r="J735" s="41">
        <v>471</v>
      </c>
      <c r="K735" s="118"/>
      <c r="L735" s="119"/>
      <c r="M735" s="110">
        <f>IF(L735="",I735,(MIN(J735,(L735*1.6*J735))))</f>
        <v>457</v>
      </c>
      <c r="N735" s="111">
        <f>IF(M735=0,0,(M735/J735))</f>
        <v>0.97027600849256901</v>
      </c>
    </row>
    <row r="736" spans="2:14">
      <c r="B736" s="72">
        <v>127722</v>
      </c>
      <c r="C736" s="47" t="s">
        <v>268</v>
      </c>
      <c r="D736" s="123">
        <f>SUMIF(B$3:B$3844,B736,M$3:M$3844)/(SUMIF(B$3:B$3844,B736,J$3:J$3844))</f>
        <v>0.76143103246416566</v>
      </c>
      <c r="E736" s="47">
        <v>36814</v>
      </c>
      <c r="F736" s="48" t="s">
        <v>380</v>
      </c>
      <c r="G736" s="47"/>
      <c r="H736" s="47"/>
      <c r="I736" s="40">
        <v>618</v>
      </c>
      <c r="J736" s="40">
        <v>648</v>
      </c>
      <c r="K736" s="118"/>
      <c r="L736" s="119"/>
      <c r="M736" s="110">
        <f>IF(L736="",I736,(MIN(J736,(L736*1.6*J736))))</f>
        <v>618</v>
      </c>
      <c r="N736" s="111">
        <f>IF(M736=0,0,(M736/J736))</f>
        <v>0.95370370370370372</v>
      </c>
    </row>
    <row r="737" spans="2:14">
      <c r="B737" s="73">
        <v>127722</v>
      </c>
      <c r="C737" s="23" t="s">
        <v>268</v>
      </c>
      <c r="D737" s="123">
        <f>SUMIF(B$3:B$3844,B737,M$3:M$3844)/(SUMIF(B$3:B$3844,B737,J$3:J$3844))</f>
        <v>0.76143103246416566</v>
      </c>
      <c r="E737" s="23">
        <v>36741</v>
      </c>
      <c r="F737" s="46" t="s">
        <v>381</v>
      </c>
      <c r="G737" s="23"/>
      <c r="H737" s="23"/>
      <c r="I737" s="41">
        <v>474</v>
      </c>
      <c r="J737" s="41">
        <v>484</v>
      </c>
      <c r="K737" s="118"/>
      <c r="L737" s="119"/>
      <c r="M737" s="110">
        <f>IF(L737="",I737,(MIN(J737,(L737*1.6*J737))))</f>
        <v>474</v>
      </c>
      <c r="N737" s="111">
        <f>IF(M737=0,0,(M737/J737))</f>
        <v>0.97933884297520657</v>
      </c>
    </row>
    <row r="738" spans="2:14">
      <c r="B738" s="72">
        <v>127722</v>
      </c>
      <c r="C738" s="47" t="s">
        <v>268</v>
      </c>
      <c r="D738" s="123">
        <f>SUMIF(B$3:B$3844,B738,M$3:M$3844)/(SUMIF(B$3:B$3844,B738,J$3:J$3844))</f>
        <v>0.76143103246416566</v>
      </c>
      <c r="E738" s="47">
        <v>36696</v>
      </c>
      <c r="F738" s="48" t="s">
        <v>382</v>
      </c>
      <c r="G738" s="47"/>
      <c r="H738" s="47"/>
      <c r="I738" s="40">
        <v>443</v>
      </c>
      <c r="J738" s="40">
        <v>463</v>
      </c>
      <c r="K738" s="118"/>
      <c r="L738" s="119"/>
      <c r="M738" s="110">
        <f>IF(L738="",I738,(MIN(J738,(L738*1.6*J738))))</f>
        <v>443</v>
      </c>
      <c r="N738" s="111">
        <f>IF(M738=0,0,(M738/J738))</f>
        <v>0.95680345572354208</v>
      </c>
    </row>
    <row r="739" spans="2:14">
      <c r="B739" s="73">
        <v>127722</v>
      </c>
      <c r="C739" s="23" t="s">
        <v>268</v>
      </c>
      <c r="D739" s="123">
        <f>SUMIF(B$3:B$3844,B739,M$3:M$3844)/(SUMIF(B$3:B$3844,B739,J$3:J$3844))</f>
        <v>0.76143103246416566</v>
      </c>
      <c r="E739" s="23">
        <v>36766</v>
      </c>
      <c r="F739" s="46" t="s">
        <v>383</v>
      </c>
      <c r="G739" s="23"/>
      <c r="H739" s="23"/>
      <c r="I739" s="41">
        <v>249</v>
      </c>
      <c r="J739" s="41">
        <v>384</v>
      </c>
      <c r="K739" s="118"/>
      <c r="L739" s="119"/>
      <c r="M739" s="110">
        <f>IF(L739="",I739,(MIN(J739,(L739*1.6*J739))))</f>
        <v>249</v>
      </c>
      <c r="N739" s="111">
        <f>IF(M739=0,0,(M739/J739))</f>
        <v>0.6484375</v>
      </c>
    </row>
    <row r="740" spans="2:14">
      <c r="B740" s="72">
        <v>127722</v>
      </c>
      <c r="C740" s="47" t="s">
        <v>268</v>
      </c>
      <c r="D740" s="123">
        <f>SUMIF(B$3:B$3844,B740,M$3:M$3844)/(SUMIF(B$3:B$3844,B740,J$3:J$3844))</f>
        <v>0.76143103246416566</v>
      </c>
      <c r="E740" s="47">
        <v>37008</v>
      </c>
      <c r="F740" s="48" t="s">
        <v>384</v>
      </c>
      <c r="G740" s="47"/>
      <c r="H740" s="47"/>
      <c r="I740" s="40">
        <v>725</v>
      </c>
      <c r="J740" s="40">
        <v>1150</v>
      </c>
      <c r="K740" s="118"/>
      <c r="L740" s="119"/>
      <c r="M740" s="110">
        <f>IF(L740="",I740,(MIN(J740,(L740*1.6*J740))))</f>
        <v>725</v>
      </c>
      <c r="N740" s="111">
        <f>IF(M740=0,0,(M740/J740))</f>
        <v>0.63043478260869568</v>
      </c>
    </row>
    <row r="741" spans="2:14">
      <c r="B741" s="73">
        <v>127722</v>
      </c>
      <c r="C741" s="23" t="s">
        <v>268</v>
      </c>
      <c r="D741" s="123">
        <f>SUMIF(B$3:B$3844,B741,M$3:M$3844)/(SUMIF(B$3:B$3844,B741,J$3:J$3844))</f>
        <v>0.76143103246416566</v>
      </c>
      <c r="E741" s="23">
        <v>36993</v>
      </c>
      <c r="F741" s="46" t="s">
        <v>385</v>
      </c>
      <c r="G741" s="23"/>
      <c r="H741" s="23"/>
      <c r="I741" s="41">
        <v>410</v>
      </c>
      <c r="J741" s="41">
        <v>499</v>
      </c>
      <c r="K741" s="118"/>
      <c r="L741" s="119"/>
      <c r="M741" s="110">
        <f>IF(L741="",I741,(MIN(J741,(L741*1.6*J741))))</f>
        <v>410</v>
      </c>
      <c r="N741" s="111">
        <f>IF(M741=0,0,(M741/J741))</f>
        <v>0.82164328657314634</v>
      </c>
    </row>
    <row r="742" spans="2:14">
      <c r="B742" s="72">
        <v>127722</v>
      </c>
      <c r="C742" s="47" t="s">
        <v>268</v>
      </c>
      <c r="D742" s="123">
        <f>SUMIF(B$3:B$3844,B742,M$3:M$3844)/(SUMIF(B$3:B$3844,B742,J$3:J$3844))</f>
        <v>0.76143103246416566</v>
      </c>
      <c r="E742" s="47">
        <v>36310</v>
      </c>
      <c r="F742" s="48" t="s">
        <v>386</v>
      </c>
      <c r="G742" s="47"/>
      <c r="H742" s="47"/>
      <c r="I742" s="40">
        <v>813</v>
      </c>
      <c r="J742" s="40">
        <v>898</v>
      </c>
      <c r="K742" s="118"/>
      <c r="L742" s="119"/>
      <c r="M742" s="110">
        <f>IF(L742="",I742,(MIN(J742,(L742*1.6*J742))))</f>
        <v>813</v>
      </c>
      <c r="N742" s="111">
        <f>IF(M742=0,0,(M742/J742))</f>
        <v>0.90534521158129178</v>
      </c>
    </row>
    <row r="743" spans="2:14">
      <c r="B743" s="73">
        <v>127722</v>
      </c>
      <c r="C743" s="23" t="s">
        <v>268</v>
      </c>
      <c r="D743" s="123">
        <f>SUMIF(B$3:B$3844,B743,M$3:M$3844)/(SUMIF(B$3:B$3844,B743,J$3:J$3844))</f>
        <v>0.76143103246416566</v>
      </c>
      <c r="E743" s="23">
        <v>36749</v>
      </c>
      <c r="F743" s="46" t="s">
        <v>387</v>
      </c>
      <c r="G743" s="23"/>
      <c r="H743" s="23"/>
      <c r="I743" s="41">
        <v>664</v>
      </c>
      <c r="J743" s="41">
        <v>689</v>
      </c>
      <c r="K743" s="118"/>
      <c r="L743" s="119"/>
      <c r="M743" s="110">
        <f>IF(L743="",I743,(MIN(J743,(L743*1.6*J743))))</f>
        <v>664</v>
      </c>
      <c r="N743" s="111">
        <f>IF(M743=0,0,(M743/J743))</f>
        <v>0.96371552975326558</v>
      </c>
    </row>
    <row r="744" spans="2:14">
      <c r="B744" s="72">
        <v>127722</v>
      </c>
      <c r="C744" s="47" t="s">
        <v>268</v>
      </c>
      <c r="D744" s="123">
        <f>SUMIF(B$3:B$3844,B744,M$3:M$3844)/(SUMIF(B$3:B$3844,B744,J$3:J$3844))</f>
        <v>0.76143103246416566</v>
      </c>
      <c r="E744" s="47">
        <v>13213405</v>
      </c>
      <c r="F744" s="48" t="s">
        <v>388</v>
      </c>
      <c r="G744" s="47"/>
      <c r="H744" s="47"/>
      <c r="I744" s="40">
        <v>245</v>
      </c>
      <c r="J744" s="40">
        <v>731</v>
      </c>
      <c r="K744" s="118"/>
      <c r="L744" s="119"/>
      <c r="M744" s="110">
        <f>IF(L744="",I744,(MIN(J744,(L744*1.6*J744))))</f>
        <v>245</v>
      </c>
      <c r="N744" s="111">
        <f>IF(M744=0,0,(M744/J744))</f>
        <v>0.33515731874145005</v>
      </c>
    </row>
    <row r="745" spans="2:14">
      <c r="B745" s="73">
        <v>127722</v>
      </c>
      <c r="C745" s="23" t="s">
        <v>268</v>
      </c>
      <c r="D745" s="123">
        <f>SUMIF(B$3:B$3844,B745,M$3:M$3844)/(SUMIF(B$3:B$3844,B745,J$3:J$3844))</f>
        <v>0.76143103246416566</v>
      </c>
      <c r="E745" s="23">
        <v>36501</v>
      </c>
      <c r="F745" s="46" t="s">
        <v>389</v>
      </c>
      <c r="G745" s="23"/>
      <c r="H745" s="23"/>
      <c r="I745" s="41">
        <v>261</v>
      </c>
      <c r="J745" s="41">
        <v>284</v>
      </c>
      <c r="K745" s="118"/>
      <c r="L745" s="119"/>
      <c r="M745" s="110">
        <f>IF(L745="",I745,(MIN(J745,(L745*1.6*J745))))</f>
        <v>261</v>
      </c>
      <c r="N745" s="111">
        <f>IF(M745=0,0,(M745/J745))</f>
        <v>0.91901408450704225</v>
      </c>
    </row>
    <row r="746" spans="2:14">
      <c r="B746" s="72">
        <v>127722</v>
      </c>
      <c r="C746" s="47" t="s">
        <v>268</v>
      </c>
      <c r="D746" s="123">
        <f>SUMIF(B$3:B$3844,B746,M$3:M$3844)/(SUMIF(B$3:B$3844,B746,J$3:J$3844))</f>
        <v>0.76143103246416566</v>
      </c>
      <c r="E746" s="47">
        <v>37012</v>
      </c>
      <c r="F746" s="48" t="s">
        <v>390</v>
      </c>
      <c r="G746" s="47"/>
      <c r="H746" s="47"/>
      <c r="I746" s="40">
        <v>998</v>
      </c>
      <c r="J746" s="40">
        <v>1123</v>
      </c>
      <c r="K746" s="118"/>
      <c r="L746" s="119"/>
      <c r="M746" s="110">
        <f>IF(L746="",I746,(MIN(J746,(L746*1.6*J746))))</f>
        <v>998</v>
      </c>
      <c r="N746" s="111">
        <f>IF(M746=0,0,(M746/J746))</f>
        <v>0.88869100623330366</v>
      </c>
    </row>
    <row r="747" spans="2:14">
      <c r="B747" s="73">
        <v>127722</v>
      </c>
      <c r="C747" s="23" t="s">
        <v>268</v>
      </c>
      <c r="D747" s="123">
        <f>SUMIF(B$3:B$3844,B747,M$3:M$3844)/(SUMIF(B$3:B$3844,B747,J$3:J$3844))</f>
        <v>0.76143103246416566</v>
      </c>
      <c r="E747" s="23">
        <v>36328</v>
      </c>
      <c r="F747" s="46" t="s">
        <v>391</v>
      </c>
      <c r="G747" s="23"/>
      <c r="H747" s="23"/>
      <c r="I747" s="41">
        <v>753</v>
      </c>
      <c r="J747" s="41">
        <v>1363</v>
      </c>
      <c r="K747" s="118"/>
      <c r="L747" s="119"/>
      <c r="M747" s="110">
        <f>IF(L747="",I747,(MIN(J747,(L747*1.6*J747))))</f>
        <v>753</v>
      </c>
      <c r="N747" s="111">
        <f>IF(M747=0,0,(M747/J747))</f>
        <v>0.55245781364636826</v>
      </c>
    </row>
    <row r="748" spans="2:14">
      <c r="B748" s="72">
        <v>127722</v>
      </c>
      <c r="C748" s="47" t="s">
        <v>268</v>
      </c>
      <c r="D748" s="123">
        <f>SUMIF(B$3:B$3844,B748,M$3:M$3844)/(SUMIF(B$3:B$3844,B748,J$3:J$3844))</f>
        <v>0.76143103246416566</v>
      </c>
      <c r="E748" s="47">
        <v>36792</v>
      </c>
      <c r="F748" s="48" t="s">
        <v>392</v>
      </c>
      <c r="G748" s="47"/>
      <c r="H748" s="47"/>
      <c r="I748" s="40">
        <v>298</v>
      </c>
      <c r="J748" s="40">
        <v>307</v>
      </c>
      <c r="K748" s="118"/>
      <c r="L748" s="119"/>
      <c r="M748" s="110">
        <f>IF(L748="",I748,(MIN(J748,(L748*1.6*J748))))</f>
        <v>298</v>
      </c>
      <c r="N748" s="111">
        <f>IF(M748=0,0,(M748/J748))</f>
        <v>0.97068403908794787</v>
      </c>
    </row>
    <row r="749" spans="2:14">
      <c r="B749" s="73">
        <v>127722</v>
      </c>
      <c r="C749" s="23" t="s">
        <v>268</v>
      </c>
      <c r="D749" s="123">
        <f>SUMIF(B$3:B$3844,B749,M$3:M$3844)/(SUMIF(B$3:B$3844,B749,J$3:J$3844))</f>
        <v>0.76143103246416566</v>
      </c>
      <c r="E749" s="23">
        <v>36702</v>
      </c>
      <c r="F749" s="46" t="s">
        <v>393</v>
      </c>
      <c r="G749" s="23"/>
      <c r="H749" s="23"/>
      <c r="I749" s="41">
        <v>579</v>
      </c>
      <c r="J749" s="41">
        <v>769</v>
      </c>
      <c r="K749" s="118"/>
      <c r="L749" s="119"/>
      <c r="M749" s="110">
        <f>IF(L749="",I749,(MIN(J749,(L749*1.6*J749))))</f>
        <v>579</v>
      </c>
      <c r="N749" s="111">
        <f>IF(M749=0,0,(M749/J749))</f>
        <v>0.75292587776332898</v>
      </c>
    </row>
    <row r="750" spans="2:14">
      <c r="B750" s="72">
        <v>127722</v>
      </c>
      <c r="C750" s="47" t="s">
        <v>268</v>
      </c>
      <c r="D750" s="123">
        <f>SUMIF(B$3:B$3844,B750,M$3:M$3844)/(SUMIF(B$3:B$3844,B750,J$3:J$3844))</f>
        <v>0.76143103246416566</v>
      </c>
      <c r="E750" s="47">
        <v>36932</v>
      </c>
      <c r="F750" s="48" t="s">
        <v>394</v>
      </c>
      <c r="G750" s="47"/>
      <c r="H750" s="47"/>
      <c r="I750" s="40">
        <v>320</v>
      </c>
      <c r="J750" s="40">
        <v>418</v>
      </c>
      <c r="K750" s="118"/>
      <c r="L750" s="119"/>
      <c r="M750" s="110">
        <f>IF(L750="",I750,(MIN(J750,(L750*1.6*J750))))</f>
        <v>320</v>
      </c>
      <c r="N750" s="111">
        <f>IF(M750=0,0,(M750/J750))</f>
        <v>0.76555023923444976</v>
      </c>
    </row>
    <row r="751" spans="2:14">
      <c r="B751" s="73">
        <v>127722</v>
      </c>
      <c r="C751" s="23" t="s">
        <v>268</v>
      </c>
      <c r="D751" s="123">
        <f>SUMIF(B$3:B$3844,B751,M$3:M$3844)/(SUMIF(B$3:B$3844,B751,J$3:J$3844))</f>
        <v>0.76143103246416566</v>
      </c>
      <c r="E751" s="23">
        <v>36316</v>
      </c>
      <c r="F751" s="46" t="s">
        <v>395</v>
      </c>
      <c r="G751" s="23"/>
      <c r="H751" s="23"/>
      <c r="I751" s="41">
        <v>820</v>
      </c>
      <c r="J751" s="41">
        <v>917</v>
      </c>
      <c r="K751" s="118"/>
      <c r="L751" s="119"/>
      <c r="M751" s="110">
        <f>IF(L751="",I751,(MIN(J751,(L751*1.6*J751))))</f>
        <v>820</v>
      </c>
      <c r="N751" s="111">
        <f>IF(M751=0,0,(M751/J751))</f>
        <v>0.89422028353326066</v>
      </c>
    </row>
    <row r="752" spans="2:14">
      <c r="B752" s="72">
        <v>127722</v>
      </c>
      <c r="C752" s="47" t="s">
        <v>268</v>
      </c>
      <c r="D752" s="123">
        <f>SUMIF(B$3:B$3844,B752,M$3:M$3844)/(SUMIF(B$3:B$3844,B752,J$3:J$3844))</f>
        <v>0.76143103246416566</v>
      </c>
      <c r="E752" s="47">
        <v>36704</v>
      </c>
      <c r="F752" s="48" t="s">
        <v>396</v>
      </c>
      <c r="G752" s="47"/>
      <c r="H752" s="47"/>
      <c r="I752" s="40">
        <v>587</v>
      </c>
      <c r="J752" s="40">
        <v>653</v>
      </c>
      <c r="K752" s="118"/>
      <c r="L752" s="119"/>
      <c r="M752" s="110">
        <f>IF(L752="",I752,(MIN(J752,(L752*1.6*J752))))</f>
        <v>587</v>
      </c>
      <c r="N752" s="111">
        <f>IF(M752=0,0,(M752/J752))</f>
        <v>0.89892802450229714</v>
      </c>
    </row>
    <row r="753" spans="2:14">
      <c r="B753" s="73">
        <v>127722</v>
      </c>
      <c r="C753" s="23" t="s">
        <v>268</v>
      </c>
      <c r="D753" s="123">
        <f>SUMIF(B$3:B$3844,B753,M$3:M$3844)/(SUMIF(B$3:B$3844,B753,J$3:J$3844))</f>
        <v>0.76143103246416566</v>
      </c>
      <c r="E753" s="23">
        <v>36707</v>
      </c>
      <c r="F753" s="46" t="s">
        <v>397</v>
      </c>
      <c r="G753" s="23"/>
      <c r="H753" s="23"/>
      <c r="I753" s="41">
        <v>451</v>
      </c>
      <c r="J753" s="41">
        <v>509</v>
      </c>
      <c r="K753" s="118"/>
      <c r="L753" s="119"/>
      <c r="M753" s="110">
        <f>IF(L753="",I753,(MIN(J753,(L753*1.6*J753))))</f>
        <v>451</v>
      </c>
      <c r="N753" s="111">
        <f>IF(M753=0,0,(M753/J753))</f>
        <v>0.88605108055009818</v>
      </c>
    </row>
    <row r="754" spans="2:14">
      <c r="B754" s="72">
        <v>127722</v>
      </c>
      <c r="C754" s="47" t="s">
        <v>268</v>
      </c>
      <c r="D754" s="123">
        <f>SUMIF(B$3:B$3844,B754,M$3:M$3844)/(SUMIF(B$3:B$3844,B754,J$3:J$3844))</f>
        <v>0.76143103246416566</v>
      </c>
      <c r="E754" s="47">
        <v>36869</v>
      </c>
      <c r="F754" s="48" t="s">
        <v>398</v>
      </c>
      <c r="G754" s="47"/>
      <c r="H754" s="47"/>
      <c r="I754" s="40">
        <v>377</v>
      </c>
      <c r="J754" s="40">
        <v>383</v>
      </c>
      <c r="K754" s="118"/>
      <c r="L754" s="119"/>
      <c r="M754" s="110">
        <f>IF(L754="",I754,(MIN(J754,(L754*1.6*J754))))</f>
        <v>377</v>
      </c>
      <c r="N754" s="111">
        <f>IF(M754=0,0,(M754/J754))</f>
        <v>0.98433420365535251</v>
      </c>
    </row>
    <row r="755" spans="2:14">
      <c r="B755" s="73">
        <v>127722</v>
      </c>
      <c r="C755" s="23" t="s">
        <v>268</v>
      </c>
      <c r="D755" s="123">
        <f>SUMIF(B$3:B$3844,B755,M$3:M$3844)/(SUMIF(B$3:B$3844,B755,J$3:J$3844))</f>
        <v>0.76143103246416566</v>
      </c>
      <c r="E755" s="23">
        <v>36519</v>
      </c>
      <c r="F755" s="46" t="s">
        <v>399</v>
      </c>
      <c r="G755" s="23"/>
      <c r="H755" s="23"/>
      <c r="I755" s="41">
        <v>615</v>
      </c>
      <c r="J755" s="41">
        <v>640</v>
      </c>
      <c r="K755" s="118"/>
      <c r="L755" s="119"/>
      <c r="M755" s="110">
        <f>IF(L755="",I755,(MIN(J755,(L755*1.6*J755))))</f>
        <v>615</v>
      </c>
      <c r="N755" s="111">
        <f>IF(M755=0,0,(M755/J755))</f>
        <v>0.9609375</v>
      </c>
    </row>
    <row r="756" spans="2:14">
      <c r="B756" s="72">
        <v>127722</v>
      </c>
      <c r="C756" s="47" t="s">
        <v>268</v>
      </c>
      <c r="D756" s="123">
        <f>SUMIF(B$3:B$3844,B756,M$3:M$3844)/(SUMIF(B$3:B$3844,B756,J$3:J$3844))</f>
        <v>0.76143103246416566</v>
      </c>
      <c r="E756" s="47">
        <v>37030</v>
      </c>
      <c r="F756" s="48" t="s">
        <v>400</v>
      </c>
      <c r="G756" s="47"/>
      <c r="H756" s="47"/>
      <c r="I756" s="40">
        <v>693</v>
      </c>
      <c r="J756" s="40">
        <v>746</v>
      </c>
      <c r="K756" s="118"/>
      <c r="L756" s="119"/>
      <c r="M756" s="110">
        <f>IF(L756="",I756,(MIN(J756,(L756*1.6*J756))))</f>
        <v>693</v>
      </c>
      <c r="N756" s="111">
        <f>IF(M756=0,0,(M756/J756))</f>
        <v>0.92895442359249325</v>
      </c>
    </row>
    <row r="757" spans="2:14">
      <c r="B757" s="73">
        <v>127722</v>
      </c>
      <c r="C757" s="23" t="s">
        <v>268</v>
      </c>
      <c r="D757" s="123">
        <f>SUMIF(B$3:B$3844,B757,M$3:M$3844)/(SUMIF(B$3:B$3844,B757,J$3:J$3844))</f>
        <v>0.76143103246416566</v>
      </c>
      <c r="E757" s="23">
        <v>36951</v>
      </c>
      <c r="F757" s="46" t="s">
        <v>401</v>
      </c>
      <c r="G757" s="23"/>
      <c r="H757" s="23"/>
      <c r="I757" s="41">
        <v>616</v>
      </c>
      <c r="J757" s="41">
        <v>675</v>
      </c>
      <c r="K757" s="118"/>
      <c r="L757" s="119"/>
      <c r="M757" s="110">
        <f>IF(L757="",I757,(MIN(J757,(L757*1.6*J757))))</f>
        <v>616</v>
      </c>
      <c r="N757" s="111">
        <f>IF(M757=0,0,(M757/J757))</f>
        <v>0.91259259259259262</v>
      </c>
    </row>
    <row r="758" spans="2:14">
      <c r="B758" s="72">
        <v>127722</v>
      </c>
      <c r="C758" s="47" t="s">
        <v>268</v>
      </c>
      <c r="D758" s="123">
        <f>SUMIF(B$3:B$3844,B758,M$3:M$3844)/(SUMIF(B$3:B$3844,B758,J$3:J$3844))</f>
        <v>0.76143103246416566</v>
      </c>
      <c r="E758" s="47">
        <v>36721</v>
      </c>
      <c r="F758" s="48" t="s">
        <v>402</v>
      </c>
      <c r="G758" s="47"/>
      <c r="H758" s="47"/>
      <c r="I758" s="40">
        <v>296</v>
      </c>
      <c r="J758" s="40">
        <v>1070</v>
      </c>
      <c r="K758" s="118"/>
      <c r="L758" s="119"/>
      <c r="M758" s="110">
        <f>IF(L758="",I758,(MIN(J758,(L758*1.6*J758))))</f>
        <v>296</v>
      </c>
      <c r="N758" s="111">
        <f>IF(M758=0,0,(M758/J758))</f>
        <v>0.27663551401869158</v>
      </c>
    </row>
    <row r="759" spans="2:14">
      <c r="B759" s="73">
        <v>127722</v>
      </c>
      <c r="C759" s="23" t="s">
        <v>268</v>
      </c>
      <c r="D759" s="123">
        <f>SUMIF(B$3:B$3844,B759,M$3:M$3844)/(SUMIF(B$3:B$3844,B759,J$3:J$3844))</f>
        <v>0.76143103246416566</v>
      </c>
      <c r="E759" s="23">
        <v>36511</v>
      </c>
      <c r="F759" s="46" t="s">
        <v>403</v>
      </c>
      <c r="G759" s="23"/>
      <c r="H759" s="23"/>
      <c r="I759" s="41">
        <v>278</v>
      </c>
      <c r="J759" s="41">
        <v>291</v>
      </c>
      <c r="K759" s="118"/>
      <c r="L759" s="119"/>
      <c r="M759" s="110">
        <f>IF(L759="",I759,(MIN(J759,(L759*1.6*J759))))</f>
        <v>278</v>
      </c>
      <c r="N759" s="111">
        <f>IF(M759=0,0,(M759/J759))</f>
        <v>0.9553264604810997</v>
      </c>
    </row>
    <row r="760" spans="2:14">
      <c r="B760" s="72">
        <v>127722</v>
      </c>
      <c r="C760" s="47" t="s">
        <v>268</v>
      </c>
      <c r="D760" s="123">
        <f>SUMIF(B$3:B$3844,B760,M$3:M$3844)/(SUMIF(B$3:B$3844,B760,J$3:J$3844))</f>
        <v>0.76143103246416566</v>
      </c>
      <c r="E760" s="47">
        <v>36508</v>
      </c>
      <c r="F760" s="48" t="s">
        <v>404</v>
      </c>
      <c r="G760" s="47"/>
      <c r="H760" s="47"/>
      <c r="I760" s="40">
        <v>427</v>
      </c>
      <c r="J760" s="40">
        <v>454</v>
      </c>
      <c r="K760" s="118"/>
      <c r="L760" s="119"/>
      <c r="M760" s="110">
        <f>IF(L760="",I760,(MIN(J760,(L760*1.6*J760))))</f>
        <v>427</v>
      </c>
      <c r="N760" s="111">
        <f>IF(M760=0,0,(M760/J760))</f>
        <v>0.94052863436123346</v>
      </c>
    </row>
    <row r="761" spans="2:14">
      <c r="B761" s="73">
        <v>127722</v>
      </c>
      <c r="C761" s="23" t="s">
        <v>268</v>
      </c>
      <c r="D761" s="123">
        <f>SUMIF(B$3:B$3844,B761,M$3:M$3844)/(SUMIF(B$3:B$3844,B761,J$3:J$3844))</f>
        <v>0.76143103246416566</v>
      </c>
      <c r="E761" s="23">
        <v>36505</v>
      </c>
      <c r="F761" s="46" t="s">
        <v>405</v>
      </c>
      <c r="G761" s="23"/>
      <c r="H761" s="23"/>
      <c r="I761" s="41">
        <v>300</v>
      </c>
      <c r="J761" s="41">
        <v>321</v>
      </c>
      <c r="K761" s="118"/>
      <c r="L761" s="119"/>
      <c r="M761" s="110">
        <f>IF(L761="",I761,(MIN(J761,(L761*1.6*J761))))</f>
        <v>300</v>
      </c>
      <c r="N761" s="111">
        <f>IF(M761=0,0,(M761/J761))</f>
        <v>0.93457943925233644</v>
      </c>
    </row>
    <row r="762" spans="2:14">
      <c r="B762" s="72">
        <v>127722</v>
      </c>
      <c r="C762" s="47" t="s">
        <v>268</v>
      </c>
      <c r="D762" s="123">
        <f>SUMIF(B$3:B$3844,B762,M$3:M$3844)/(SUMIF(B$3:B$3844,B762,J$3:J$3844))</f>
        <v>0.76143103246416566</v>
      </c>
      <c r="E762" s="47">
        <v>36323</v>
      </c>
      <c r="F762" s="48" t="s">
        <v>406</v>
      </c>
      <c r="G762" s="47"/>
      <c r="H762" s="47"/>
      <c r="I762" s="40">
        <v>481</v>
      </c>
      <c r="J762" s="40">
        <v>539</v>
      </c>
      <c r="K762" s="118"/>
      <c r="L762" s="119"/>
      <c r="M762" s="110">
        <f>IF(L762="",I762,(MIN(J762,(L762*1.6*J762))))</f>
        <v>481</v>
      </c>
      <c r="N762" s="111">
        <f>IF(M762=0,0,(M762/J762))</f>
        <v>0.89239332096474955</v>
      </c>
    </row>
    <row r="763" spans="2:14">
      <c r="B763" s="73">
        <v>127722</v>
      </c>
      <c r="C763" s="23" t="s">
        <v>268</v>
      </c>
      <c r="D763" s="123">
        <f>SUMIF(B$3:B$3844,B763,M$3:M$3844)/(SUMIF(B$3:B$3844,B763,J$3:J$3844))</f>
        <v>0.76143103246416566</v>
      </c>
      <c r="E763" s="23">
        <v>36882</v>
      </c>
      <c r="F763" s="46" t="s">
        <v>407</v>
      </c>
      <c r="G763" s="23"/>
      <c r="H763" s="23"/>
      <c r="I763" s="41">
        <v>512</v>
      </c>
      <c r="J763" s="41">
        <v>527</v>
      </c>
      <c r="K763" s="118"/>
      <c r="L763" s="119"/>
      <c r="M763" s="110">
        <f>IF(L763="",I763,(MIN(J763,(L763*1.6*J763))))</f>
        <v>512</v>
      </c>
      <c r="N763" s="111">
        <f>IF(M763=0,0,(M763/J763))</f>
        <v>0.97153700189753323</v>
      </c>
    </row>
    <row r="764" spans="2:14">
      <c r="B764" s="72">
        <v>127722</v>
      </c>
      <c r="C764" s="47" t="s">
        <v>268</v>
      </c>
      <c r="D764" s="123">
        <f>SUMIF(B$3:B$3844,B764,M$3:M$3844)/(SUMIF(B$3:B$3844,B764,J$3:J$3844))</f>
        <v>0.76143103246416566</v>
      </c>
      <c r="E764" s="47">
        <v>36335</v>
      </c>
      <c r="F764" s="48" t="s">
        <v>408</v>
      </c>
      <c r="G764" s="47"/>
      <c r="H764" s="47"/>
      <c r="I764" s="40">
        <v>466</v>
      </c>
      <c r="J764" s="40">
        <v>531</v>
      </c>
      <c r="K764" s="118"/>
      <c r="L764" s="119"/>
      <c r="M764" s="110">
        <f>IF(L764="",I764,(MIN(J764,(L764*1.6*J764))))</f>
        <v>466</v>
      </c>
      <c r="N764" s="111">
        <f>IF(M764=0,0,(M764/J764))</f>
        <v>0.87758945386064036</v>
      </c>
    </row>
    <row r="765" spans="2:14">
      <c r="B765" s="73">
        <v>127722</v>
      </c>
      <c r="C765" s="23" t="s">
        <v>268</v>
      </c>
      <c r="D765" s="123">
        <f>SUMIF(B$3:B$3844,B765,M$3:M$3844)/(SUMIF(B$3:B$3844,B765,J$3:J$3844))</f>
        <v>0.76143103246416566</v>
      </c>
      <c r="E765" s="23">
        <v>36950</v>
      </c>
      <c r="F765" s="46" t="s">
        <v>409</v>
      </c>
      <c r="G765" s="23"/>
      <c r="H765" s="23"/>
      <c r="I765" s="41">
        <v>487</v>
      </c>
      <c r="J765" s="41">
        <v>547</v>
      </c>
      <c r="K765" s="118"/>
      <c r="L765" s="119"/>
      <c r="M765" s="110">
        <f>IF(L765="",I765,(MIN(J765,(L765*1.6*J765))))</f>
        <v>487</v>
      </c>
      <c r="N765" s="111">
        <f>IF(M765=0,0,(M765/J765))</f>
        <v>0.89031078610603287</v>
      </c>
    </row>
    <row r="766" spans="2:14">
      <c r="B766" s="72">
        <v>127722</v>
      </c>
      <c r="C766" s="47" t="s">
        <v>268</v>
      </c>
      <c r="D766" s="123">
        <f>SUMIF(B$3:B$3844,B766,M$3:M$3844)/(SUMIF(B$3:B$3844,B766,J$3:J$3844))</f>
        <v>0.76143103246416566</v>
      </c>
      <c r="E766" s="47">
        <v>16080436</v>
      </c>
      <c r="F766" s="48" t="s">
        <v>410</v>
      </c>
      <c r="G766" s="47"/>
      <c r="H766" s="47"/>
      <c r="I766" s="40">
        <v>222</v>
      </c>
      <c r="J766" s="40">
        <v>238</v>
      </c>
      <c r="K766" s="118"/>
      <c r="L766" s="119"/>
      <c r="M766" s="110">
        <f>IF(L766="",I766,(MIN(J766,(L766*1.6*J766))))</f>
        <v>222</v>
      </c>
      <c r="N766" s="111">
        <f>IF(M766=0,0,(M766/J766))</f>
        <v>0.9327731092436975</v>
      </c>
    </row>
    <row r="767" spans="2:14">
      <c r="B767" s="73">
        <v>127722</v>
      </c>
      <c r="C767" s="23" t="s">
        <v>268</v>
      </c>
      <c r="D767" s="123">
        <f>SUMIF(B$3:B$3844,B767,M$3:M$3844)/(SUMIF(B$3:B$3844,B767,J$3:J$3844))</f>
        <v>0.76143103246416566</v>
      </c>
      <c r="E767" s="23">
        <v>36901</v>
      </c>
      <c r="F767" s="46" t="s">
        <v>411</v>
      </c>
      <c r="G767" s="23"/>
      <c r="H767" s="23"/>
      <c r="I767" s="41">
        <v>546</v>
      </c>
      <c r="J767" s="41">
        <v>581</v>
      </c>
      <c r="K767" s="118"/>
      <c r="L767" s="119"/>
      <c r="M767" s="110">
        <f>IF(L767="",I767,(MIN(J767,(L767*1.6*J767))))</f>
        <v>546</v>
      </c>
      <c r="N767" s="111">
        <f>IF(M767=0,0,(M767/J767))</f>
        <v>0.93975903614457834</v>
      </c>
    </row>
    <row r="768" spans="2:14">
      <c r="B768" s="72">
        <v>127722</v>
      </c>
      <c r="C768" s="47" t="s">
        <v>268</v>
      </c>
      <c r="D768" s="123">
        <f>SUMIF(B$3:B$3844,B768,M$3:M$3844)/(SUMIF(B$3:B$3844,B768,J$3:J$3844))</f>
        <v>0.76143103246416566</v>
      </c>
      <c r="E768" s="47">
        <v>16055035</v>
      </c>
      <c r="F768" s="48" t="s">
        <v>412</v>
      </c>
      <c r="G768" s="47"/>
      <c r="H768" s="47"/>
      <c r="I768" s="40">
        <v>1676</v>
      </c>
      <c r="J768" s="40">
        <v>1876</v>
      </c>
      <c r="K768" s="118"/>
      <c r="L768" s="119"/>
      <c r="M768" s="110">
        <f>IF(L768="",I768,(MIN(J768,(L768*1.6*J768))))</f>
        <v>1676</v>
      </c>
      <c r="N768" s="111">
        <f>IF(M768=0,0,(M768/J768))</f>
        <v>0.89339019189765456</v>
      </c>
    </row>
    <row r="769" spans="2:14">
      <c r="B769" s="73">
        <v>127722</v>
      </c>
      <c r="C769" s="23" t="s">
        <v>268</v>
      </c>
      <c r="D769" s="123">
        <f>SUMIF(B$3:B$3844,B769,M$3:M$3844)/(SUMIF(B$3:B$3844,B769,J$3:J$3844))</f>
        <v>0.76143103246416566</v>
      </c>
      <c r="E769" s="23">
        <v>37026</v>
      </c>
      <c r="F769" s="46" t="s">
        <v>413</v>
      </c>
      <c r="G769" s="23"/>
      <c r="H769" s="23"/>
      <c r="I769" s="41">
        <v>718</v>
      </c>
      <c r="J769" s="41">
        <v>934</v>
      </c>
      <c r="K769" s="118"/>
      <c r="L769" s="119"/>
      <c r="M769" s="110">
        <f>IF(L769="",I769,(MIN(J769,(L769*1.6*J769))))</f>
        <v>718</v>
      </c>
      <c r="N769" s="111">
        <f>IF(M769=0,0,(M769/J769))</f>
        <v>0.76873661670235549</v>
      </c>
    </row>
    <row r="770" spans="2:14" ht="30">
      <c r="B770" s="72">
        <v>127722</v>
      </c>
      <c r="C770" s="47" t="s">
        <v>268</v>
      </c>
      <c r="D770" s="123">
        <f>SUMIF(B$3:B$3844,B770,M$3:M$3844)/(SUMIF(B$3:B$3844,B770,J$3:J$3844))</f>
        <v>0.76143103246416566</v>
      </c>
      <c r="E770" s="47">
        <v>36740</v>
      </c>
      <c r="F770" s="48" t="s">
        <v>414</v>
      </c>
      <c r="G770" s="47"/>
      <c r="H770" s="47"/>
      <c r="I770" s="40">
        <v>396</v>
      </c>
      <c r="J770" s="40">
        <v>424</v>
      </c>
      <c r="K770" s="118"/>
      <c r="L770" s="119"/>
      <c r="M770" s="110">
        <f>IF(L770="",I770,(MIN(J770,(L770*1.6*J770))))</f>
        <v>396</v>
      </c>
      <c r="N770" s="111">
        <f>IF(M770=0,0,(M770/J770))</f>
        <v>0.93396226415094341</v>
      </c>
    </row>
    <row r="771" spans="2:14">
      <c r="B771" s="73">
        <v>127722</v>
      </c>
      <c r="C771" s="23" t="s">
        <v>268</v>
      </c>
      <c r="D771" s="123">
        <f>SUMIF(B$3:B$3844,B771,M$3:M$3844)/(SUMIF(B$3:B$3844,B771,J$3:J$3844))</f>
        <v>0.76143103246416566</v>
      </c>
      <c r="E771" s="23">
        <v>36908</v>
      </c>
      <c r="F771" s="46" t="s">
        <v>415</v>
      </c>
      <c r="G771" s="23"/>
      <c r="H771" s="23"/>
      <c r="I771" s="41">
        <v>481</v>
      </c>
      <c r="J771" s="41">
        <v>532</v>
      </c>
      <c r="K771" s="118"/>
      <c r="L771" s="119"/>
      <c r="M771" s="110">
        <f>IF(L771="",I771,(MIN(J771,(L771*1.6*J771))))</f>
        <v>481</v>
      </c>
      <c r="N771" s="111">
        <f>IF(M771=0,0,(M771/J771))</f>
        <v>0.90413533834586468</v>
      </c>
    </row>
    <row r="772" spans="2:14" ht="30">
      <c r="B772" s="72">
        <v>127722</v>
      </c>
      <c r="C772" s="47" t="s">
        <v>268</v>
      </c>
      <c r="D772" s="123">
        <f>SUMIF(B$3:B$3844,B772,M$3:M$3844)/(SUMIF(B$3:B$3844,B772,J$3:J$3844))</f>
        <v>0.76143103246416566</v>
      </c>
      <c r="E772" s="47">
        <v>36493</v>
      </c>
      <c r="F772" s="48" t="s">
        <v>416</v>
      </c>
      <c r="G772" s="47"/>
      <c r="H772" s="47"/>
      <c r="I772" s="40">
        <v>433</v>
      </c>
      <c r="J772" s="40">
        <v>441</v>
      </c>
      <c r="K772" s="118"/>
      <c r="L772" s="119"/>
      <c r="M772" s="110">
        <f>IF(L772="",I772,(MIN(J772,(L772*1.6*J772))))</f>
        <v>433</v>
      </c>
      <c r="N772" s="111">
        <f>IF(M772=0,0,(M772/J772))</f>
        <v>0.98185941043083902</v>
      </c>
    </row>
    <row r="773" spans="2:14">
      <c r="B773" s="73">
        <v>127722</v>
      </c>
      <c r="C773" s="23" t="s">
        <v>268</v>
      </c>
      <c r="D773" s="123">
        <f>SUMIF(B$3:B$3844,B773,M$3:M$3844)/(SUMIF(B$3:B$3844,B773,J$3:J$3844))</f>
        <v>0.76143103246416566</v>
      </c>
      <c r="E773" s="23">
        <v>36738</v>
      </c>
      <c r="F773" s="46" t="s">
        <v>417</v>
      </c>
      <c r="G773" s="23"/>
      <c r="H773" s="23"/>
      <c r="I773" s="41">
        <v>415</v>
      </c>
      <c r="J773" s="41">
        <v>433</v>
      </c>
      <c r="K773" s="118"/>
      <c r="L773" s="119"/>
      <c r="M773" s="110">
        <f>IF(L773="",I773,(MIN(J773,(L773*1.6*J773))))</f>
        <v>415</v>
      </c>
      <c r="N773" s="111">
        <f>IF(M773=0,0,(M773/J773))</f>
        <v>0.95842956120092382</v>
      </c>
    </row>
    <row r="774" spans="2:14">
      <c r="B774" s="72">
        <v>127722</v>
      </c>
      <c r="C774" s="47" t="s">
        <v>268</v>
      </c>
      <c r="D774" s="123">
        <f>SUMIF(B$3:B$3844,B774,M$3:M$3844)/(SUMIF(B$3:B$3844,B774,J$3:J$3844))</f>
        <v>0.76143103246416566</v>
      </c>
      <c r="E774" s="47">
        <v>36852</v>
      </c>
      <c r="F774" s="48" t="s">
        <v>418</v>
      </c>
      <c r="G774" s="47"/>
      <c r="H774" s="47"/>
      <c r="I774" s="40">
        <v>149</v>
      </c>
      <c r="J774" s="40">
        <v>616</v>
      </c>
      <c r="K774" s="118"/>
      <c r="L774" s="119"/>
      <c r="M774" s="110">
        <f>IF(L774="",I774,(MIN(J774,(L774*1.6*J774))))</f>
        <v>149</v>
      </c>
      <c r="N774" s="111">
        <f>IF(M774=0,0,(M774/J774))</f>
        <v>0.24188311688311689</v>
      </c>
    </row>
    <row r="775" spans="2:14">
      <c r="B775" s="73">
        <v>127722</v>
      </c>
      <c r="C775" s="23" t="s">
        <v>268</v>
      </c>
      <c r="D775" s="123">
        <f>SUMIF(B$3:B$3844,B775,M$3:M$3844)/(SUMIF(B$3:B$3844,B775,J$3:J$3844))</f>
        <v>0.76143103246416566</v>
      </c>
      <c r="E775" s="23">
        <v>36331</v>
      </c>
      <c r="F775" s="46" t="s">
        <v>419</v>
      </c>
      <c r="G775" s="23"/>
      <c r="H775" s="23"/>
      <c r="I775" s="41">
        <v>608</v>
      </c>
      <c r="J775" s="41">
        <v>721</v>
      </c>
      <c r="K775" s="118"/>
      <c r="L775" s="119"/>
      <c r="M775" s="110">
        <f>IF(L775="",I775,(MIN(J775,(L775*1.6*J775))))</f>
        <v>608</v>
      </c>
      <c r="N775" s="111">
        <f>IF(M775=0,0,(M775/J775))</f>
        <v>0.84327323162274614</v>
      </c>
    </row>
    <row r="776" spans="2:14">
      <c r="B776" s="72">
        <v>127722</v>
      </c>
      <c r="C776" s="47" t="s">
        <v>268</v>
      </c>
      <c r="D776" s="123">
        <f>SUMIF(B$3:B$3844,B776,M$3:M$3844)/(SUMIF(B$3:B$3844,B776,J$3:J$3844))</f>
        <v>0.76143103246416566</v>
      </c>
      <c r="E776" s="47">
        <v>36318</v>
      </c>
      <c r="F776" s="48" t="s">
        <v>420</v>
      </c>
      <c r="G776" s="47"/>
      <c r="H776" s="47"/>
      <c r="I776" s="40">
        <v>560</v>
      </c>
      <c r="J776" s="40">
        <v>635</v>
      </c>
      <c r="K776" s="118"/>
      <c r="L776" s="119"/>
      <c r="M776" s="110">
        <f>IF(L776="",I776,(MIN(J776,(L776*1.6*J776))))</f>
        <v>560</v>
      </c>
      <c r="N776" s="111">
        <f>IF(M776=0,0,(M776/J776))</f>
        <v>0.88188976377952755</v>
      </c>
    </row>
    <row r="777" spans="2:14">
      <c r="B777" s="73">
        <v>127722</v>
      </c>
      <c r="C777" s="23" t="s">
        <v>268</v>
      </c>
      <c r="D777" s="123">
        <f>SUMIF(B$3:B$3844,B777,M$3:M$3844)/(SUMIF(B$3:B$3844,B777,J$3:J$3844))</f>
        <v>0.76143103246416566</v>
      </c>
      <c r="E777" s="23">
        <v>36343</v>
      </c>
      <c r="F777" s="46" t="s">
        <v>421</v>
      </c>
      <c r="G777" s="23"/>
      <c r="H777" s="23"/>
      <c r="I777" s="41">
        <v>758</v>
      </c>
      <c r="J777" s="41">
        <v>1038</v>
      </c>
      <c r="K777" s="118"/>
      <c r="L777" s="119"/>
      <c r="M777" s="110">
        <f>IF(L777="",I777,(MIN(J777,(L777*1.6*J777))))</f>
        <v>758</v>
      </c>
      <c r="N777" s="111">
        <f>IF(M777=0,0,(M777/J777))</f>
        <v>0.73025048169556839</v>
      </c>
    </row>
    <row r="778" spans="2:14">
      <c r="B778" s="72">
        <v>127722</v>
      </c>
      <c r="C778" s="47" t="s">
        <v>268</v>
      </c>
      <c r="D778" s="123">
        <f>SUMIF(B$3:B$3844,B778,M$3:M$3844)/(SUMIF(B$3:B$3844,B778,J$3:J$3844))</f>
        <v>0.76143103246416566</v>
      </c>
      <c r="E778" s="47">
        <v>36521</v>
      </c>
      <c r="F778" s="48" t="s">
        <v>422</v>
      </c>
      <c r="G778" s="47"/>
      <c r="H778" s="47"/>
      <c r="I778" s="40">
        <v>315</v>
      </c>
      <c r="J778" s="40">
        <v>333</v>
      </c>
      <c r="K778" s="118"/>
      <c r="L778" s="119"/>
      <c r="M778" s="110">
        <f>IF(L778="",I778,(MIN(J778,(L778*1.6*J778))))</f>
        <v>315</v>
      </c>
      <c r="N778" s="111">
        <f>IF(M778=0,0,(M778/J778))</f>
        <v>0.94594594594594594</v>
      </c>
    </row>
    <row r="779" spans="2:14">
      <c r="B779" s="73">
        <v>127722</v>
      </c>
      <c r="C779" s="23" t="s">
        <v>268</v>
      </c>
      <c r="D779" s="123">
        <f>SUMIF(B$3:B$3844,B779,M$3:M$3844)/(SUMIF(B$3:B$3844,B779,J$3:J$3844))</f>
        <v>0.76143103246416566</v>
      </c>
      <c r="E779" s="23">
        <v>36954</v>
      </c>
      <c r="F779" s="46" t="s">
        <v>423</v>
      </c>
      <c r="G779" s="23"/>
      <c r="H779" s="23"/>
      <c r="I779" s="41">
        <v>324</v>
      </c>
      <c r="J779" s="41">
        <v>346</v>
      </c>
      <c r="K779" s="118"/>
      <c r="L779" s="119"/>
      <c r="M779" s="110">
        <f>IF(L779="",I779,(MIN(J779,(L779*1.6*J779))))</f>
        <v>324</v>
      </c>
      <c r="N779" s="111">
        <f>IF(M779=0,0,(M779/J779))</f>
        <v>0.93641618497109824</v>
      </c>
    </row>
    <row r="780" spans="2:14">
      <c r="B780" s="72">
        <v>127722</v>
      </c>
      <c r="C780" s="47" t="s">
        <v>268</v>
      </c>
      <c r="D780" s="123">
        <f>SUMIF(B$3:B$3844,B780,M$3:M$3844)/(SUMIF(B$3:B$3844,B780,J$3:J$3844))</f>
        <v>0.76143103246416566</v>
      </c>
      <c r="E780" s="47">
        <v>36867</v>
      </c>
      <c r="F780" s="48" t="s">
        <v>424</v>
      </c>
      <c r="G780" s="47"/>
      <c r="H780" s="47"/>
      <c r="I780" s="40">
        <v>549</v>
      </c>
      <c r="J780" s="40">
        <v>777</v>
      </c>
      <c r="K780" s="118"/>
      <c r="L780" s="119"/>
      <c r="M780" s="110">
        <f>IF(L780="",I780,(MIN(J780,(L780*1.6*J780))))</f>
        <v>549</v>
      </c>
      <c r="N780" s="111">
        <f>IF(M780=0,0,(M780/J780))</f>
        <v>0.70656370656370659</v>
      </c>
    </row>
    <row r="781" spans="2:14">
      <c r="B781" s="73">
        <v>127722</v>
      </c>
      <c r="C781" s="23" t="s">
        <v>268</v>
      </c>
      <c r="D781" s="123">
        <f>SUMIF(B$3:B$3844,B781,M$3:M$3844)/(SUMIF(B$3:B$3844,B781,J$3:J$3844))</f>
        <v>0.76143103246416566</v>
      </c>
      <c r="E781" s="23">
        <v>36459</v>
      </c>
      <c r="F781" s="46" t="s">
        <v>425</v>
      </c>
      <c r="G781" s="23"/>
      <c r="H781" s="23"/>
      <c r="I781" s="41">
        <v>788</v>
      </c>
      <c r="J781" s="41">
        <v>853</v>
      </c>
      <c r="K781" s="118"/>
      <c r="L781" s="119"/>
      <c r="M781" s="110">
        <f>IF(L781="",I781,(MIN(J781,(L781*1.6*J781))))</f>
        <v>788</v>
      </c>
      <c r="N781" s="111">
        <f>IF(M781=0,0,(M781/J781))</f>
        <v>0.92379835873388039</v>
      </c>
    </row>
    <row r="782" spans="2:14">
      <c r="B782" s="72">
        <v>127722</v>
      </c>
      <c r="C782" s="47" t="s">
        <v>268</v>
      </c>
      <c r="D782" s="123">
        <f>SUMIF(B$3:B$3844,B782,M$3:M$3844)/(SUMIF(B$3:B$3844,B782,J$3:J$3844))</f>
        <v>0.76143103246416566</v>
      </c>
      <c r="E782" s="47">
        <v>36747</v>
      </c>
      <c r="F782" s="48" t="s">
        <v>426</v>
      </c>
      <c r="G782" s="47"/>
      <c r="H782" s="47"/>
      <c r="I782" s="40">
        <v>312</v>
      </c>
      <c r="J782" s="40">
        <v>320</v>
      </c>
      <c r="K782" s="118"/>
      <c r="L782" s="119"/>
      <c r="M782" s="110">
        <f>IF(L782="",I782,(MIN(J782,(L782*1.6*J782))))</f>
        <v>312</v>
      </c>
      <c r="N782" s="111">
        <f>IF(M782=0,0,(M782/J782))</f>
        <v>0.97499999999999998</v>
      </c>
    </row>
    <row r="783" spans="2:14">
      <c r="B783" s="73">
        <v>127722</v>
      </c>
      <c r="C783" s="23" t="s">
        <v>268</v>
      </c>
      <c r="D783" s="123">
        <f>SUMIF(B$3:B$3844,B783,M$3:M$3844)/(SUMIF(B$3:B$3844,B783,J$3:J$3844))</f>
        <v>0.76143103246416566</v>
      </c>
      <c r="E783" s="23">
        <v>36846</v>
      </c>
      <c r="F783" s="46" t="s">
        <v>427</v>
      </c>
      <c r="G783" s="23"/>
      <c r="H783" s="23"/>
      <c r="I783" s="41">
        <v>178</v>
      </c>
      <c r="J783" s="41">
        <v>1032</v>
      </c>
      <c r="K783" s="118"/>
      <c r="L783" s="119"/>
      <c r="M783" s="110">
        <f>IF(L783="",I783,(MIN(J783,(L783*1.6*J783))))</f>
        <v>178</v>
      </c>
      <c r="N783" s="111">
        <f>IF(M783=0,0,(M783/J783))</f>
        <v>0.17248062015503876</v>
      </c>
    </row>
    <row r="784" spans="2:14">
      <c r="B784" s="72">
        <v>127722</v>
      </c>
      <c r="C784" s="47" t="s">
        <v>268</v>
      </c>
      <c r="D784" s="123">
        <f>SUMIF(B$3:B$3844,B784,M$3:M$3844)/(SUMIF(B$3:B$3844,B784,J$3:J$3844))</f>
        <v>0.76143103246416566</v>
      </c>
      <c r="E784" s="47">
        <v>36863</v>
      </c>
      <c r="F784" s="48" t="s">
        <v>428</v>
      </c>
      <c r="G784" s="47"/>
      <c r="H784" s="47"/>
      <c r="I784" s="40">
        <v>389</v>
      </c>
      <c r="J784" s="40">
        <v>408</v>
      </c>
      <c r="K784" s="118"/>
      <c r="L784" s="119"/>
      <c r="M784" s="110">
        <f>IF(L784="",I784,(MIN(J784,(L784*1.6*J784))))</f>
        <v>389</v>
      </c>
      <c r="N784" s="111">
        <f>IF(M784=0,0,(M784/J784))</f>
        <v>0.95343137254901966</v>
      </c>
    </row>
    <row r="785" spans="2:14">
      <c r="B785" s="73">
        <v>127722</v>
      </c>
      <c r="C785" s="23" t="s">
        <v>268</v>
      </c>
      <c r="D785" s="123">
        <f>SUMIF(B$3:B$3844,B785,M$3:M$3844)/(SUMIF(B$3:B$3844,B785,J$3:J$3844))</f>
        <v>0.76143103246416566</v>
      </c>
      <c r="E785" s="23">
        <v>36962</v>
      </c>
      <c r="F785" s="46" t="s">
        <v>429</v>
      </c>
      <c r="G785" s="23"/>
      <c r="H785" s="23"/>
      <c r="I785" s="41">
        <v>417</v>
      </c>
      <c r="J785" s="41">
        <v>424</v>
      </c>
      <c r="K785" s="118"/>
      <c r="L785" s="119"/>
      <c r="M785" s="110">
        <f>IF(L785="",I785,(MIN(J785,(L785*1.6*J785))))</f>
        <v>417</v>
      </c>
      <c r="N785" s="111">
        <f>IF(M785=0,0,(M785/J785))</f>
        <v>0.98349056603773588</v>
      </c>
    </row>
    <row r="786" spans="2:14">
      <c r="B786" s="72">
        <v>127722</v>
      </c>
      <c r="C786" s="47" t="s">
        <v>268</v>
      </c>
      <c r="D786" s="123">
        <f>SUMIF(B$3:B$3844,B786,M$3:M$3844)/(SUMIF(B$3:B$3844,B786,J$3:J$3844))</f>
        <v>0.76143103246416566</v>
      </c>
      <c r="E786" s="47">
        <v>36942</v>
      </c>
      <c r="F786" s="48" t="s">
        <v>430</v>
      </c>
      <c r="G786" s="47"/>
      <c r="H786" s="47"/>
      <c r="I786" s="40">
        <v>664</v>
      </c>
      <c r="J786" s="40">
        <v>691</v>
      </c>
      <c r="K786" s="118"/>
      <c r="L786" s="119"/>
      <c r="M786" s="110">
        <f>IF(L786="",I786,(MIN(J786,(L786*1.6*J786))))</f>
        <v>664</v>
      </c>
      <c r="N786" s="111">
        <f>IF(M786=0,0,(M786/J786))</f>
        <v>0.96092619392185241</v>
      </c>
    </row>
    <row r="787" spans="2:14">
      <c r="B787" s="73">
        <v>127722</v>
      </c>
      <c r="C787" s="23" t="s">
        <v>268</v>
      </c>
      <c r="D787" s="123">
        <f>SUMIF(B$3:B$3844,B787,M$3:M$3844)/(SUMIF(B$3:B$3844,B787,J$3:J$3844))</f>
        <v>0.76143103246416566</v>
      </c>
      <c r="E787" s="23">
        <v>36804</v>
      </c>
      <c r="F787" s="46" t="s">
        <v>431</v>
      </c>
      <c r="G787" s="23"/>
      <c r="H787" s="23"/>
      <c r="I787" s="41">
        <v>381</v>
      </c>
      <c r="J787" s="41">
        <v>409</v>
      </c>
      <c r="K787" s="118"/>
      <c r="L787" s="119"/>
      <c r="M787" s="110">
        <f>IF(L787="",I787,(MIN(J787,(L787*1.6*J787))))</f>
        <v>381</v>
      </c>
      <c r="N787" s="111">
        <f>IF(M787=0,0,(M787/J787))</f>
        <v>0.93154034229828853</v>
      </c>
    </row>
    <row r="788" spans="2:14">
      <c r="B788" s="72">
        <v>127722</v>
      </c>
      <c r="C788" s="47" t="s">
        <v>268</v>
      </c>
      <c r="D788" s="123">
        <f>SUMIF(B$3:B$3844,B788,M$3:M$3844)/(SUMIF(B$3:B$3844,B788,J$3:J$3844))</f>
        <v>0.76143103246416566</v>
      </c>
      <c r="E788" s="47">
        <v>37074</v>
      </c>
      <c r="F788" s="48" t="s">
        <v>432</v>
      </c>
      <c r="G788" s="47"/>
      <c r="H788" s="47"/>
      <c r="I788" s="40">
        <v>536</v>
      </c>
      <c r="J788" s="40">
        <v>756</v>
      </c>
      <c r="K788" s="118"/>
      <c r="L788" s="119"/>
      <c r="M788" s="110">
        <f>IF(L788="",I788,(MIN(J788,(L788*1.6*J788))))</f>
        <v>536</v>
      </c>
      <c r="N788" s="111">
        <f>IF(M788=0,0,(M788/J788))</f>
        <v>0.70899470899470896</v>
      </c>
    </row>
    <row r="789" spans="2:14">
      <c r="B789" s="73">
        <v>127722</v>
      </c>
      <c r="C789" s="23" t="s">
        <v>268</v>
      </c>
      <c r="D789" s="123">
        <f>SUMIF(B$3:B$3844,B789,M$3:M$3844)/(SUMIF(B$3:B$3844,B789,J$3:J$3844))</f>
        <v>0.76143103246416566</v>
      </c>
      <c r="E789" s="23">
        <v>36492</v>
      </c>
      <c r="F789" s="46" t="s">
        <v>433</v>
      </c>
      <c r="G789" s="23"/>
      <c r="H789" s="23"/>
      <c r="I789" s="41">
        <v>398</v>
      </c>
      <c r="J789" s="41">
        <v>412</v>
      </c>
      <c r="K789" s="118"/>
      <c r="L789" s="119"/>
      <c r="M789" s="110">
        <f>IF(L789="",I789,(MIN(J789,(L789*1.6*J789))))</f>
        <v>398</v>
      </c>
      <c r="N789" s="111">
        <f>IF(M789=0,0,(M789/J789))</f>
        <v>0.96601941747572817</v>
      </c>
    </row>
    <row r="790" spans="2:14">
      <c r="B790" s="72">
        <v>127722</v>
      </c>
      <c r="C790" s="47" t="s">
        <v>268</v>
      </c>
      <c r="D790" s="123">
        <f>SUMIF(B$3:B$3844,B790,M$3:M$3844)/(SUMIF(B$3:B$3844,B790,J$3:J$3844))</f>
        <v>0.76143103246416566</v>
      </c>
      <c r="E790" s="47">
        <v>36450</v>
      </c>
      <c r="F790" s="48" t="s">
        <v>434</v>
      </c>
      <c r="G790" s="47"/>
      <c r="H790" s="47"/>
      <c r="I790" s="40">
        <v>744</v>
      </c>
      <c r="J790" s="40">
        <v>846</v>
      </c>
      <c r="K790" s="118"/>
      <c r="L790" s="119"/>
      <c r="M790" s="110">
        <f>IF(L790="",I790,(MIN(J790,(L790*1.6*J790))))</f>
        <v>744</v>
      </c>
      <c r="N790" s="111">
        <f>IF(M790=0,0,(M790/J790))</f>
        <v>0.87943262411347523</v>
      </c>
    </row>
    <row r="791" spans="2:14">
      <c r="B791" s="73">
        <v>127722</v>
      </c>
      <c r="C791" s="23" t="s">
        <v>268</v>
      </c>
      <c r="D791" s="123">
        <f>SUMIF(B$3:B$3844,B791,M$3:M$3844)/(SUMIF(B$3:B$3844,B791,J$3:J$3844))</f>
        <v>0.76143103246416566</v>
      </c>
      <c r="E791" s="23">
        <v>36440</v>
      </c>
      <c r="F791" s="46" t="s">
        <v>435</v>
      </c>
      <c r="G791" s="23"/>
      <c r="H791" s="23"/>
      <c r="I791" s="41">
        <v>632</v>
      </c>
      <c r="J791" s="41">
        <v>643</v>
      </c>
      <c r="K791" s="118"/>
      <c r="L791" s="119"/>
      <c r="M791" s="110">
        <f>IF(L791="",I791,(MIN(J791,(L791*1.6*J791))))</f>
        <v>632</v>
      </c>
      <c r="N791" s="111">
        <f>IF(M791=0,0,(M791/J791))</f>
        <v>0.98289269051321926</v>
      </c>
    </row>
    <row r="792" spans="2:14" ht="30">
      <c r="B792" s="72">
        <v>127722</v>
      </c>
      <c r="C792" s="47" t="s">
        <v>268</v>
      </c>
      <c r="D792" s="123">
        <f>SUMIF(B$3:B$3844,B792,M$3:M$3844)/(SUMIF(B$3:B$3844,B792,J$3:J$3844))</f>
        <v>0.76143103246416566</v>
      </c>
      <c r="E792" s="47">
        <v>36866</v>
      </c>
      <c r="F792" s="48" t="s">
        <v>436</v>
      </c>
      <c r="G792" s="47"/>
      <c r="H792" s="47"/>
      <c r="I792" s="40">
        <v>99</v>
      </c>
      <c r="J792" s="40">
        <v>104</v>
      </c>
      <c r="K792" s="118"/>
      <c r="L792" s="119"/>
      <c r="M792" s="110">
        <f>IF(L792="",I792,(MIN(J792,(L792*1.6*J792))))</f>
        <v>99</v>
      </c>
      <c r="N792" s="111">
        <f>IF(M792=0,0,(M792/J792))</f>
        <v>0.95192307692307687</v>
      </c>
    </row>
    <row r="793" spans="2:14">
      <c r="B793" s="73">
        <v>127722</v>
      </c>
      <c r="C793" s="23" t="s">
        <v>268</v>
      </c>
      <c r="D793" s="123">
        <f>SUMIF(B$3:B$3844,B793,M$3:M$3844)/(SUMIF(B$3:B$3844,B793,J$3:J$3844))</f>
        <v>0.76143103246416566</v>
      </c>
      <c r="E793" s="23">
        <v>36641</v>
      </c>
      <c r="F793" s="46" t="s">
        <v>437</v>
      </c>
      <c r="G793" s="23"/>
      <c r="H793" s="23"/>
      <c r="I793" s="41">
        <v>1255</v>
      </c>
      <c r="J793" s="41">
        <v>1295</v>
      </c>
      <c r="K793" s="118"/>
      <c r="L793" s="119"/>
      <c r="M793" s="110">
        <f>IF(L793="",I793,(MIN(J793,(L793*1.6*J793))))</f>
        <v>1255</v>
      </c>
      <c r="N793" s="111">
        <f>IF(M793=0,0,(M793/J793))</f>
        <v>0.96911196911196906</v>
      </c>
    </row>
    <row r="794" spans="2:14">
      <c r="B794" s="72">
        <v>127722</v>
      </c>
      <c r="C794" s="47" t="s">
        <v>268</v>
      </c>
      <c r="D794" s="123">
        <f>SUMIF(B$3:B$3844,B794,M$3:M$3844)/(SUMIF(B$3:B$3844,B794,J$3:J$3844))</f>
        <v>0.76143103246416566</v>
      </c>
      <c r="E794" s="47">
        <v>37049</v>
      </c>
      <c r="F794" s="48" t="s">
        <v>438</v>
      </c>
      <c r="G794" s="47"/>
      <c r="H794" s="47"/>
      <c r="I794" s="40">
        <v>532</v>
      </c>
      <c r="J794" s="40">
        <v>859</v>
      </c>
      <c r="K794" s="118"/>
      <c r="L794" s="119"/>
      <c r="M794" s="110">
        <f>IF(L794="",I794,(MIN(J794,(L794*1.6*J794))))</f>
        <v>532</v>
      </c>
      <c r="N794" s="111">
        <f>IF(M794=0,0,(M794/J794))</f>
        <v>0.61932479627473802</v>
      </c>
    </row>
    <row r="795" spans="2:14">
      <c r="B795" s="73">
        <v>127722</v>
      </c>
      <c r="C795" s="23" t="s">
        <v>268</v>
      </c>
      <c r="D795" s="123">
        <f>SUMIF(B$3:B$3844,B795,M$3:M$3844)/(SUMIF(B$3:B$3844,B795,J$3:J$3844))</f>
        <v>0.76143103246416566</v>
      </c>
      <c r="E795" s="23">
        <v>36904</v>
      </c>
      <c r="F795" s="46" t="s">
        <v>439</v>
      </c>
      <c r="G795" s="23"/>
      <c r="H795" s="23"/>
      <c r="I795" s="41">
        <v>333</v>
      </c>
      <c r="J795" s="41">
        <v>418</v>
      </c>
      <c r="K795" s="118"/>
      <c r="L795" s="119"/>
      <c r="M795" s="110">
        <f>IF(L795="",I795,(MIN(J795,(L795*1.6*J795))))</f>
        <v>333</v>
      </c>
      <c r="N795" s="111">
        <f>IF(M795=0,0,(M795/J795))</f>
        <v>0.79665071770334928</v>
      </c>
    </row>
    <row r="796" spans="2:14">
      <c r="B796" s="72">
        <v>127722</v>
      </c>
      <c r="C796" s="47" t="s">
        <v>268</v>
      </c>
      <c r="D796" s="123">
        <f>SUMIF(B$3:B$3844,B796,M$3:M$3844)/(SUMIF(B$3:B$3844,B796,J$3:J$3844))</f>
        <v>0.76143103246416566</v>
      </c>
      <c r="E796" s="47">
        <v>36989</v>
      </c>
      <c r="F796" s="48" t="s">
        <v>440</v>
      </c>
      <c r="G796" s="47"/>
      <c r="H796" s="47"/>
      <c r="I796" s="40">
        <v>529</v>
      </c>
      <c r="J796" s="40">
        <v>586</v>
      </c>
      <c r="K796" s="118"/>
      <c r="L796" s="119"/>
      <c r="M796" s="110">
        <f>IF(L796="",I796,(MIN(J796,(L796*1.6*J796))))</f>
        <v>529</v>
      </c>
      <c r="N796" s="111">
        <f>IF(M796=0,0,(M796/J796))</f>
        <v>0.90273037542662116</v>
      </c>
    </row>
    <row r="797" spans="2:14">
      <c r="B797" s="73">
        <v>127722</v>
      </c>
      <c r="C797" s="23" t="s">
        <v>268</v>
      </c>
      <c r="D797" s="123">
        <f>SUMIF(B$3:B$3844,B797,M$3:M$3844)/(SUMIF(B$3:B$3844,B797,J$3:J$3844))</f>
        <v>0.76143103246416566</v>
      </c>
      <c r="E797" s="23">
        <v>36909</v>
      </c>
      <c r="F797" s="46" t="s">
        <v>195</v>
      </c>
      <c r="G797" s="23"/>
      <c r="H797" s="23"/>
      <c r="I797" s="41">
        <v>526</v>
      </c>
      <c r="J797" s="41">
        <v>583</v>
      </c>
      <c r="K797" s="118"/>
      <c r="L797" s="119"/>
      <c r="M797" s="110">
        <f>IF(L797="",I797,(MIN(J797,(L797*1.6*J797))))</f>
        <v>526</v>
      </c>
      <c r="N797" s="111">
        <f>IF(M797=0,0,(M797/J797))</f>
        <v>0.902229845626072</v>
      </c>
    </row>
    <row r="798" spans="2:14" ht="30">
      <c r="B798" s="72">
        <v>127722</v>
      </c>
      <c r="C798" s="47" t="s">
        <v>268</v>
      </c>
      <c r="D798" s="123">
        <f>SUMIF(B$3:B$3844,B798,M$3:M$3844)/(SUMIF(B$3:B$3844,B798,J$3:J$3844))</f>
        <v>0.76143103246416566</v>
      </c>
      <c r="E798" s="47">
        <v>36893</v>
      </c>
      <c r="F798" s="48" t="s">
        <v>441</v>
      </c>
      <c r="G798" s="47"/>
      <c r="H798" s="47"/>
      <c r="I798" s="40">
        <v>653</v>
      </c>
      <c r="J798" s="40">
        <v>692</v>
      </c>
      <c r="K798" s="118"/>
      <c r="L798" s="119"/>
      <c r="M798" s="110">
        <f>IF(L798="",I798,(MIN(J798,(L798*1.6*J798))))</f>
        <v>653</v>
      </c>
      <c r="N798" s="111">
        <f>IF(M798=0,0,(M798/J798))</f>
        <v>0.94364161849710981</v>
      </c>
    </row>
    <row r="799" spans="2:14">
      <c r="B799" s="73">
        <v>127722</v>
      </c>
      <c r="C799" s="23" t="s">
        <v>268</v>
      </c>
      <c r="D799" s="123">
        <f>SUMIF(B$3:B$3844,B799,M$3:M$3844)/(SUMIF(B$3:B$3844,B799,J$3:J$3844))</f>
        <v>0.76143103246416566</v>
      </c>
      <c r="E799" s="23">
        <v>36758</v>
      </c>
      <c r="F799" s="46" t="s">
        <v>442</v>
      </c>
      <c r="G799" s="23"/>
      <c r="H799" s="23"/>
      <c r="I799" s="41">
        <v>588</v>
      </c>
      <c r="J799" s="41">
        <v>597</v>
      </c>
      <c r="K799" s="118"/>
      <c r="L799" s="119"/>
      <c r="M799" s="110">
        <f>IF(L799="",I799,(MIN(J799,(L799*1.6*J799))))</f>
        <v>588</v>
      </c>
      <c r="N799" s="111">
        <f>IF(M799=0,0,(M799/J799))</f>
        <v>0.98492462311557794</v>
      </c>
    </row>
    <row r="800" spans="2:14">
      <c r="B800" s="72">
        <v>127722</v>
      </c>
      <c r="C800" s="47" t="s">
        <v>268</v>
      </c>
      <c r="D800" s="123">
        <f>SUMIF(B$3:B$3844,B800,M$3:M$3844)/(SUMIF(B$3:B$3844,B800,J$3:J$3844))</f>
        <v>0.76143103246416566</v>
      </c>
      <c r="E800" s="47">
        <v>36958</v>
      </c>
      <c r="F800" s="48" t="s">
        <v>443</v>
      </c>
      <c r="G800" s="47"/>
      <c r="H800" s="47"/>
      <c r="I800" s="40">
        <v>431</v>
      </c>
      <c r="J800" s="40">
        <v>483</v>
      </c>
      <c r="K800" s="118"/>
      <c r="L800" s="119"/>
      <c r="M800" s="110">
        <f>IF(L800="",I800,(MIN(J800,(L800*1.6*J800))))</f>
        <v>431</v>
      </c>
      <c r="N800" s="111">
        <f>IF(M800=0,0,(M800/J800))</f>
        <v>0.89233954451345754</v>
      </c>
    </row>
    <row r="801" spans="2:14">
      <c r="B801" s="73">
        <v>127722</v>
      </c>
      <c r="C801" s="23" t="s">
        <v>268</v>
      </c>
      <c r="D801" s="123">
        <f>SUMIF(B$3:B$3844,B801,M$3:M$3844)/(SUMIF(B$3:B$3844,B801,J$3:J$3844))</f>
        <v>0.76143103246416566</v>
      </c>
      <c r="E801" s="23">
        <v>36773</v>
      </c>
      <c r="F801" s="46" t="s">
        <v>444</v>
      </c>
      <c r="G801" s="23"/>
      <c r="H801" s="23"/>
      <c r="I801" s="41">
        <v>492</v>
      </c>
      <c r="J801" s="41">
        <v>584</v>
      </c>
      <c r="K801" s="118"/>
      <c r="L801" s="119"/>
      <c r="M801" s="110">
        <f>IF(L801="",I801,(MIN(J801,(L801*1.6*J801))))</f>
        <v>492</v>
      </c>
      <c r="N801" s="111">
        <f>IF(M801=0,0,(M801/J801))</f>
        <v>0.84246575342465757</v>
      </c>
    </row>
    <row r="802" spans="2:14">
      <c r="B802" s="72">
        <v>127722</v>
      </c>
      <c r="C802" s="47" t="s">
        <v>268</v>
      </c>
      <c r="D802" s="123">
        <f>SUMIF(B$3:B$3844,B802,M$3:M$3844)/(SUMIF(B$3:B$3844,B802,J$3:J$3844))</f>
        <v>0.76143103246416566</v>
      </c>
      <c r="E802" s="47">
        <v>36632</v>
      </c>
      <c r="F802" s="48" t="s">
        <v>445</v>
      </c>
      <c r="G802" s="47"/>
      <c r="H802" s="47"/>
      <c r="I802" s="40">
        <v>251</v>
      </c>
      <c r="J802" s="40">
        <v>255</v>
      </c>
      <c r="K802" s="118"/>
      <c r="L802" s="119"/>
      <c r="M802" s="110">
        <f>IF(L802="",I802,(MIN(J802,(L802*1.6*J802))))</f>
        <v>251</v>
      </c>
      <c r="N802" s="111">
        <f>IF(M802=0,0,(M802/J802))</f>
        <v>0.98431372549019602</v>
      </c>
    </row>
    <row r="803" spans="2:14">
      <c r="B803" s="73">
        <v>127722</v>
      </c>
      <c r="C803" s="23" t="s">
        <v>268</v>
      </c>
      <c r="D803" s="123">
        <f>SUMIF(B$3:B$3844,B803,M$3:M$3844)/(SUMIF(B$3:B$3844,B803,J$3:J$3844))</f>
        <v>0.76143103246416566</v>
      </c>
      <c r="E803" s="23">
        <v>36688</v>
      </c>
      <c r="F803" s="46" t="s">
        <v>446</v>
      </c>
      <c r="G803" s="23"/>
      <c r="H803" s="23"/>
      <c r="I803" s="41">
        <v>946</v>
      </c>
      <c r="J803" s="41">
        <v>1017</v>
      </c>
      <c r="K803" s="118"/>
      <c r="L803" s="119"/>
      <c r="M803" s="110">
        <f>IF(L803="",I803,(MIN(J803,(L803*1.6*J803))))</f>
        <v>946</v>
      </c>
      <c r="N803" s="111">
        <f>IF(M803=0,0,(M803/J803))</f>
        <v>0.9301868239921337</v>
      </c>
    </row>
    <row r="804" spans="2:14">
      <c r="B804" s="72">
        <v>127722</v>
      </c>
      <c r="C804" s="47" t="s">
        <v>268</v>
      </c>
      <c r="D804" s="123">
        <f>SUMIF(B$3:B$3844,B804,M$3:M$3844)/(SUMIF(B$3:B$3844,B804,J$3:J$3844))</f>
        <v>0.76143103246416566</v>
      </c>
      <c r="E804" s="47">
        <v>16035591</v>
      </c>
      <c r="F804" s="48" t="s">
        <v>447</v>
      </c>
      <c r="G804" s="47"/>
      <c r="H804" s="47"/>
      <c r="I804" s="40">
        <v>1324</v>
      </c>
      <c r="J804" s="40">
        <v>1655</v>
      </c>
      <c r="K804" s="118"/>
      <c r="L804" s="119"/>
      <c r="M804" s="110">
        <f>IF(L804="",I804,(MIN(J804,(L804*1.6*J804))))</f>
        <v>1324</v>
      </c>
      <c r="N804" s="111">
        <f>IF(M804=0,0,(M804/J804))</f>
        <v>0.8</v>
      </c>
    </row>
    <row r="805" spans="2:14">
      <c r="B805" s="73">
        <v>127722</v>
      </c>
      <c r="C805" s="23" t="s">
        <v>268</v>
      </c>
      <c r="D805" s="123">
        <f>SUMIF(B$3:B$3844,B805,M$3:M$3844)/(SUMIF(B$3:B$3844,B805,J$3:J$3844))</f>
        <v>0.76143103246416566</v>
      </c>
      <c r="E805" s="23">
        <v>36348</v>
      </c>
      <c r="F805" s="46" t="s">
        <v>448</v>
      </c>
      <c r="G805" s="23"/>
      <c r="H805" s="23"/>
      <c r="I805" s="41">
        <v>931</v>
      </c>
      <c r="J805" s="41">
        <v>1002</v>
      </c>
      <c r="K805" s="118"/>
      <c r="L805" s="119"/>
      <c r="M805" s="110">
        <f>IF(L805="",I805,(MIN(J805,(L805*1.6*J805))))</f>
        <v>931</v>
      </c>
      <c r="N805" s="111">
        <f>IF(M805=0,0,(M805/J805))</f>
        <v>0.92914171656686628</v>
      </c>
    </row>
    <row r="806" spans="2:14">
      <c r="B806" s="72">
        <v>127722</v>
      </c>
      <c r="C806" s="47" t="s">
        <v>268</v>
      </c>
      <c r="D806" s="123">
        <f>SUMIF(B$3:B$3844,B806,M$3:M$3844)/(SUMIF(B$3:B$3844,B806,J$3:J$3844))</f>
        <v>0.76143103246416566</v>
      </c>
      <c r="E806" s="47">
        <v>36649</v>
      </c>
      <c r="F806" s="48" t="s">
        <v>449</v>
      </c>
      <c r="G806" s="47"/>
      <c r="H806" s="47"/>
      <c r="I806" s="40">
        <v>472</v>
      </c>
      <c r="J806" s="40">
        <v>581</v>
      </c>
      <c r="K806" s="118"/>
      <c r="L806" s="119"/>
      <c r="M806" s="110">
        <f>IF(L806="",I806,(MIN(J806,(L806*1.6*J806))))</f>
        <v>472</v>
      </c>
      <c r="N806" s="111">
        <f>IF(M806=0,0,(M806/J806))</f>
        <v>0.81239242685025814</v>
      </c>
    </row>
    <row r="807" spans="2:14" ht="30">
      <c r="B807" s="73">
        <v>127722</v>
      </c>
      <c r="C807" s="23" t="s">
        <v>268</v>
      </c>
      <c r="D807" s="123">
        <f>SUMIF(B$3:B$3844,B807,M$3:M$3844)/(SUMIF(B$3:B$3844,B807,J$3:J$3844))</f>
        <v>0.76143103246416566</v>
      </c>
      <c r="E807" s="23">
        <v>16080437</v>
      </c>
      <c r="F807" s="46" t="s">
        <v>450</v>
      </c>
      <c r="G807" s="23"/>
      <c r="H807" s="23"/>
      <c r="I807" s="41">
        <v>226</v>
      </c>
      <c r="J807" s="41">
        <v>448</v>
      </c>
      <c r="K807" s="118"/>
      <c r="L807" s="119"/>
      <c r="M807" s="110">
        <f>IF(L807="",I807,(MIN(J807,(L807*1.6*J807))))</f>
        <v>226</v>
      </c>
      <c r="N807" s="111">
        <f>IF(M807=0,0,(M807/J807))</f>
        <v>0.5044642857142857</v>
      </c>
    </row>
    <row r="808" spans="2:14">
      <c r="B808" s="72">
        <v>127722</v>
      </c>
      <c r="C808" s="47" t="s">
        <v>268</v>
      </c>
      <c r="D808" s="123">
        <f>SUMIF(B$3:B$3844,B808,M$3:M$3844)/(SUMIF(B$3:B$3844,B808,J$3:J$3844))</f>
        <v>0.76143103246416566</v>
      </c>
      <c r="E808" s="47">
        <v>36354</v>
      </c>
      <c r="F808" s="48" t="s">
        <v>451</v>
      </c>
      <c r="G808" s="47"/>
      <c r="H808" s="47"/>
      <c r="I808" s="40">
        <v>1218</v>
      </c>
      <c r="J808" s="40">
        <v>1418</v>
      </c>
      <c r="K808" s="118"/>
      <c r="L808" s="119"/>
      <c r="M808" s="110">
        <f>IF(L808="",I808,(MIN(J808,(L808*1.6*J808))))</f>
        <v>1218</v>
      </c>
      <c r="N808" s="111">
        <f>IF(M808=0,0,(M808/J808))</f>
        <v>0.85895627644569816</v>
      </c>
    </row>
    <row r="809" spans="2:14">
      <c r="B809" s="73">
        <v>127722</v>
      </c>
      <c r="C809" s="23" t="s">
        <v>268</v>
      </c>
      <c r="D809" s="123">
        <f>SUMIF(B$3:B$3844,B809,M$3:M$3844)/(SUMIF(B$3:B$3844,B809,J$3:J$3844))</f>
        <v>0.76143103246416566</v>
      </c>
      <c r="E809" s="23">
        <v>222119</v>
      </c>
      <c r="F809" s="46" t="s">
        <v>452</v>
      </c>
      <c r="G809" s="23"/>
      <c r="H809" s="23"/>
      <c r="I809" s="41">
        <v>471</v>
      </c>
      <c r="J809" s="41">
        <v>548</v>
      </c>
      <c r="K809" s="118"/>
      <c r="L809" s="119"/>
      <c r="M809" s="110">
        <f>IF(L809="",I809,(MIN(J809,(L809*1.6*J809))))</f>
        <v>471</v>
      </c>
      <c r="N809" s="111">
        <f>IF(M809=0,0,(M809/J809))</f>
        <v>0.85948905109489049</v>
      </c>
    </row>
    <row r="810" spans="2:14">
      <c r="B810" s="72">
        <v>127722</v>
      </c>
      <c r="C810" s="47" t="s">
        <v>268</v>
      </c>
      <c r="D810" s="123">
        <f>SUMIF(B$3:B$3844,B810,M$3:M$3844)/(SUMIF(B$3:B$3844,B810,J$3:J$3844))</f>
        <v>0.76143103246416566</v>
      </c>
      <c r="E810" s="47">
        <v>36500</v>
      </c>
      <c r="F810" s="48" t="s">
        <v>453</v>
      </c>
      <c r="G810" s="47"/>
      <c r="H810" s="47"/>
      <c r="I810" s="40">
        <v>326</v>
      </c>
      <c r="J810" s="40">
        <v>357</v>
      </c>
      <c r="K810" s="118"/>
      <c r="L810" s="119"/>
      <c r="M810" s="110">
        <f>IF(L810="",I810,(MIN(J810,(L810*1.6*J810))))</f>
        <v>326</v>
      </c>
      <c r="N810" s="111">
        <f>IF(M810=0,0,(M810/J810))</f>
        <v>0.91316526610644255</v>
      </c>
    </row>
    <row r="811" spans="2:14">
      <c r="B811" s="73">
        <v>127722</v>
      </c>
      <c r="C811" s="23" t="s">
        <v>268</v>
      </c>
      <c r="D811" s="123">
        <f>SUMIF(B$3:B$3844,B811,M$3:M$3844)/(SUMIF(B$3:B$3844,B811,J$3:J$3844))</f>
        <v>0.76143103246416566</v>
      </c>
      <c r="E811" s="23">
        <v>36715</v>
      </c>
      <c r="F811" s="46" t="s">
        <v>454</v>
      </c>
      <c r="G811" s="23"/>
      <c r="H811" s="23"/>
      <c r="I811" s="41">
        <v>301</v>
      </c>
      <c r="J811" s="41">
        <v>582</v>
      </c>
      <c r="K811" s="118"/>
      <c r="L811" s="119"/>
      <c r="M811" s="110">
        <f>IF(L811="",I811,(MIN(J811,(L811*1.6*J811))))</f>
        <v>301</v>
      </c>
      <c r="N811" s="111">
        <f>IF(M811=0,0,(M811/J811))</f>
        <v>0.51718213058419249</v>
      </c>
    </row>
    <row r="812" spans="2:14">
      <c r="B812" s="72">
        <v>127722</v>
      </c>
      <c r="C812" s="47" t="s">
        <v>268</v>
      </c>
      <c r="D812" s="123">
        <f>SUMIF(B$3:B$3844,B812,M$3:M$3844)/(SUMIF(B$3:B$3844,B812,J$3:J$3844))</f>
        <v>0.76143103246416566</v>
      </c>
      <c r="E812" s="47">
        <v>37017</v>
      </c>
      <c r="F812" s="48" t="s">
        <v>455</v>
      </c>
      <c r="G812" s="47"/>
      <c r="H812" s="47"/>
      <c r="I812" s="40">
        <v>771</v>
      </c>
      <c r="J812" s="40">
        <v>1616</v>
      </c>
      <c r="K812" s="118"/>
      <c r="L812" s="119"/>
      <c r="M812" s="110">
        <f>IF(L812="",I812,(MIN(J812,(L812*1.6*J812))))</f>
        <v>771</v>
      </c>
      <c r="N812" s="111">
        <f>IF(M812=0,0,(M812/J812))</f>
        <v>0.47710396039603958</v>
      </c>
    </row>
    <row r="813" spans="2:14">
      <c r="B813" s="73">
        <v>127722</v>
      </c>
      <c r="C813" s="23" t="s">
        <v>268</v>
      </c>
      <c r="D813" s="123">
        <f>SUMIF(B$3:B$3844,B813,M$3:M$3844)/(SUMIF(B$3:B$3844,B813,J$3:J$3844))</f>
        <v>0.76143103246416566</v>
      </c>
      <c r="E813" s="23">
        <v>36969</v>
      </c>
      <c r="F813" s="46" t="s">
        <v>456</v>
      </c>
      <c r="G813" s="23"/>
      <c r="H813" s="23"/>
      <c r="I813" s="41">
        <v>336</v>
      </c>
      <c r="J813" s="41">
        <v>495</v>
      </c>
      <c r="K813" s="118"/>
      <c r="L813" s="119"/>
      <c r="M813" s="110">
        <f>IF(L813="",I813,(MIN(J813,(L813*1.6*J813))))</f>
        <v>336</v>
      </c>
      <c r="N813" s="111">
        <f>IF(M813=0,0,(M813/J813))</f>
        <v>0.67878787878787883</v>
      </c>
    </row>
    <row r="814" spans="2:14">
      <c r="B814" s="72">
        <v>127722</v>
      </c>
      <c r="C814" s="47" t="s">
        <v>268</v>
      </c>
      <c r="D814" s="123">
        <f>SUMIF(B$3:B$3844,B814,M$3:M$3844)/(SUMIF(B$3:B$3844,B814,J$3:J$3844))</f>
        <v>0.76143103246416566</v>
      </c>
      <c r="E814" s="47">
        <v>36490</v>
      </c>
      <c r="F814" s="48" t="s">
        <v>457</v>
      </c>
      <c r="G814" s="47"/>
      <c r="H814" s="47"/>
      <c r="I814" s="40">
        <v>298</v>
      </c>
      <c r="J814" s="40">
        <v>384</v>
      </c>
      <c r="K814" s="118"/>
      <c r="L814" s="119"/>
      <c r="M814" s="110">
        <f>IF(L814="",I814,(MIN(J814,(L814*1.6*J814))))</f>
        <v>298</v>
      </c>
      <c r="N814" s="111">
        <f>IF(M814=0,0,(M814/J814))</f>
        <v>0.77604166666666663</v>
      </c>
    </row>
    <row r="815" spans="2:14">
      <c r="B815" s="73">
        <v>127722</v>
      </c>
      <c r="C815" s="23" t="s">
        <v>268</v>
      </c>
      <c r="D815" s="123">
        <f>SUMIF(B$3:B$3844,B815,M$3:M$3844)/(SUMIF(B$3:B$3844,B815,J$3:J$3844))</f>
        <v>0.76143103246416566</v>
      </c>
      <c r="E815" s="23">
        <v>227185</v>
      </c>
      <c r="F815" s="46" t="s">
        <v>458</v>
      </c>
      <c r="G815" s="23"/>
      <c r="H815" s="23"/>
      <c r="I815" s="41">
        <v>779</v>
      </c>
      <c r="J815" s="41">
        <v>835</v>
      </c>
      <c r="K815" s="118"/>
      <c r="L815" s="119"/>
      <c r="M815" s="110">
        <f>IF(L815="",I815,(MIN(J815,(L815*1.6*J815))))</f>
        <v>779</v>
      </c>
      <c r="N815" s="111">
        <f>IF(M815=0,0,(M815/J815))</f>
        <v>0.93293413173652695</v>
      </c>
    </row>
    <row r="816" spans="2:14">
      <c r="B816" s="72">
        <v>127722</v>
      </c>
      <c r="C816" s="47" t="s">
        <v>268</v>
      </c>
      <c r="D816" s="123">
        <f>SUMIF(B$3:B$3844,B816,M$3:M$3844)/(SUMIF(B$3:B$3844,B816,J$3:J$3844))</f>
        <v>0.76143103246416566</v>
      </c>
      <c r="E816" s="47">
        <v>36302</v>
      </c>
      <c r="F816" s="48" t="s">
        <v>459</v>
      </c>
      <c r="G816" s="47"/>
      <c r="H816" s="47"/>
      <c r="I816" s="40">
        <v>993</v>
      </c>
      <c r="J816" s="40">
        <v>1068</v>
      </c>
      <c r="K816" s="118"/>
      <c r="L816" s="119"/>
      <c r="M816" s="110">
        <f>IF(L816="",I816,(MIN(J816,(L816*1.6*J816))))</f>
        <v>993</v>
      </c>
      <c r="N816" s="111">
        <f>IF(M816=0,0,(M816/J816))</f>
        <v>0.9297752808988764</v>
      </c>
    </row>
    <row r="817" spans="2:14">
      <c r="B817" s="73">
        <v>127722</v>
      </c>
      <c r="C817" s="23" t="s">
        <v>268</v>
      </c>
      <c r="D817" s="123">
        <f>SUMIF(B$3:B$3844,B817,M$3:M$3844)/(SUMIF(B$3:B$3844,B817,J$3:J$3844))</f>
        <v>0.76143103246416566</v>
      </c>
      <c r="E817" s="23">
        <v>36760</v>
      </c>
      <c r="F817" s="46" t="s">
        <v>460</v>
      </c>
      <c r="G817" s="23"/>
      <c r="H817" s="23"/>
      <c r="I817" s="41">
        <v>539</v>
      </c>
      <c r="J817" s="41">
        <v>853</v>
      </c>
      <c r="K817" s="118"/>
      <c r="L817" s="119"/>
      <c r="M817" s="110">
        <f>IF(L817="",I817,(MIN(J817,(L817*1.6*J817))))</f>
        <v>539</v>
      </c>
      <c r="N817" s="111">
        <f>IF(M817=0,0,(M817/J817))</f>
        <v>0.63188745603751462</v>
      </c>
    </row>
    <row r="818" spans="2:14">
      <c r="B818" s="72">
        <v>127722</v>
      </c>
      <c r="C818" s="47" t="s">
        <v>268</v>
      </c>
      <c r="D818" s="123">
        <f>SUMIF(B$3:B$3844,B818,M$3:M$3844)/(SUMIF(B$3:B$3844,B818,J$3:J$3844))</f>
        <v>0.76143103246416566</v>
      </c>
      <c r="E818" s="47">
        <v>37014</v>
      </c>
      <c r="F818" s="48" t="s">
        <v>461</v>
      </c>
      <c r="G818" s="47"/>
      <c r="H818" s="47"/>
      <c r="I818" s="40">
        <v>637</v>
      </c>
      <c r="J818" s="40">
        <v>689</v>
      </c>
      <c r="K818" s="118"/>
      <c r="L818" s="119"/>
      <c r="M818" s="110">
        <f>IF(L818="",I818,(MIN(J818,(L818*1.6*J818))))</f>
        <v>637</v>
      </c>
      <c r="N818" s="111">
        <f>IF(M818=0,0,(M818/J818))</f>
        <v>0.92452830188679247</v>
      </c>
    </row>
    <row r="819" spans="2:14">
      <c r="B819" s="73">
        <v>127722</v>
      </c>
      <c r="C819" s="23" t="s">
        <v>268</v>
      </c>
      <c r="D819" s="123">
        <f>SUMIF(B$3:B$3844,B819,M$3:M$3844)/(SUMIF(B$3:B$3844,B819,J$3:J$3844))</f>
        <v>0.76143103246416566</v>
      </c>
      <c r="E819" s="23">
        <v>36646</v>
      </c>
      <c r="F819" s="46" t="s">
        <v>462</v>
      </c>
      <c r="G819" s="23"/>
      <c r="H819" s="23"/>
      <c r="I819" s="41">
        <v>480</v>
      </c>
      <c r="J819" s="41">
        <v>770</v>
      </c>
      <c r="K819" s="118"/>
      <c r="L819" s="119"/>
      <c r="M819" s="110">
        <f>IF(L819="",I819,(MIN(J819,(L819*1.6*J819))))</f>
        <v>480</v>
      </c>
      <c r="N819" s="111">
        <f>IF(M819=0,0,(M819/J819))</f>
        <v>0.62337662337662336</v>
      </c>
    </row>
    <row r="820" spans="2:14">
      <c r="B820" s="72">
        <v>127722</v>
      </c>
      <c r="C820" s="47" t="s">
        <v>268</v>
      </c>
      <c r="D820" s="123">
        <f>SUMIF(B$3:B$3844,B820,M$3:M$3844)/(SUMIF(B$3:B$3844,B820,J$3:J$3844))</f>
        <v>0.76143103246416566</v>
      </c>
      <c r="E820" s="47">
        <v>36928</v>
      </c>
      <c r="F820" s="48" t="s">
        <v>463</v>
      </c>
      <c r="G820" s="47"/>
      <c r="H820" s="47"/>
      <c r="I820" s="40">
        <v>266</v>
      </c>
      <c r="J820" s="40">
        <v>467</v>
      </c>
      <c r="K820" s="118"/>
      <c r="L820" s="119"/>
      <c r="M820" s="110">
        <f>IF(L820="",I820,(MIN(J820,(L820*1.6*J820))))</f>
        <v>266</v>
      </c>
      <c r="N820" s="111">
        <f>IF(M820=0,0,(M820/J820))</f>
        <v>0.56959314775160597</v>
      </c>
    </row>
    <row r="821" spans="2:14">
      <c r="B821" s="73">
        <v>127722</v>
      </c>
      <c r="C821" s="23" t="s">
        <v>268</v>
      </c>
      <c r="D821" s="123">
        <f>SUMIF(B$3:B$3844,B821,M$3:M$3844)/(SUMIF(B$3:B$3844,B821,J$3:J$3844))</f>
        <v>0.76143103246416566</v>
      </c>
      <c r="E821" s="23">
        <v>36967</v>
      </c>
      <c r="F821" s="46" t="s">
        <v>464</v>
      </c>
      <c r="G821" s="23"/>
      <c r="H821" s="23"/>
      <c r="I821" s="41">
        <v>747</v>
      </c>
      <c r="J821" s="41">
        <v>955</v>
      </c>
      <c r="K821" s="118"/>
      <c r="L821" s="119"/>
      <c r="M821" s="110">
        <f>IF(L821="",I821,(MIN(J821,(L821*1.6*J821))))</f>
        <v>747</v>
      </c>
      <c r="N821" s="111">
        <f>IF(M821=0,0,(M821/J821))</f>
        <v>0.78219895287958119</v>
      </c>
    </row>
    <row r="822" spans="2:14">
      <c r="B822" s="72">
        <v>127722</v>
      </c>
      <c r="C822" s="47" t="s">
        <v>268</v>
      </c>
      <c r="D822" s="123">
        <f>SUMIF(B$3:B$3844,B822,M$3:M$3844)/(SUMIF(B$3:B$3844,B822,J$3:J$3844))</f>
        <v>0.76143103246416566</v>
      </c>
      <c r="E822" s="47">
        <v>36769</v>
      </c>
      <c r="F822" s="48" t="s">
        <v>465</v>
      </c>
      <c r="G822" s="47"/>
      <c r="H822" s="47"/>
      <c r="I822" s="40">
        <v>167</v>
      </c>
      <c r="J822" s="40">
        <v>1183</v>
      </c>
      <c r="K822" s="118"/>
      <c r="L822" s="119"/>
      <c r="M822" s="110">
        <f>IF(L822="",I822,(MIN(J822,(L822*1.6*J822))))</f>
        <v>167</v>
      </c>
      <c r="N822" s="111">
        <f>IF(M822=0,0,(M822/J822))</f>
        <v>0.14116652578191038</v>
      </c>
    </row>
    <row r="823" spans="2:14">
      <c r="B823" s="73">
        <v>127722</v>
      </c>
      <c r="C823" s="23" t="s">
        <v>268</v>
      </c>
      <c r="D823" s="123">
        <f>SUMIF(B$3:B$3844,B823,M$3:M$3844)/(SUMIF(B$3:B$3844,B823,J$3:J$3844))</f>
        <v>0.76143103246416566</v>
      </c>
      <c r="E823" s="23">
        <v>36977</v>
      </c>
      <c r="F823" s="46" t="s">
        <v>466</v>
      </c>
      <c r="G823" s="23"/>
      <c r="H823" s="23"/>
      <c r="I823" s="41">
        <v>483</v>
      </c>
      <c r="J823" s="41">
        <v>654</v>
      </c>
      <c r="K823" s="118"/>
      <c r="L823" s="119"/>
      <c r="M823" s="110">
        <f>IF(L823="",I823,(MIN(J823,(L823*1.6*J823))))</f>
        <v>483</v>
      </c>
      <c r="N823" s="111">
        <f>IF(M823=0,0,(M823/J823))</f>
        <v>0.73853211009174313</v>
      </c>
    </row>
    <row r="824" spans="2:14">
      <c r="B824" s="72">
        <v>127722</v>
      </c>
      <c r="C824" s="47" t="s">
        <v>268</v>
      </c>
      <c r="D824" s="123">
        <f>SUMIF(B$3:B$3844,B824,M$3:M$3844)/(SUMIF(B$3:B$3844,B824,J$3:J$3844))</f>
        <v>0.76143103246416566</v>
      </c>
      <c r="E824" s="47">
        <v>36978</v>
      </c>
      <c r="F824" s="48" t="s">
        <v>467</v>
      </c>
      <c r="G824" s="47"/>
      <c r="H824" s="47"/>
      <c r="I824" s="40">
        <v>688</v>
      </c>
      <c r="J824" s="40">
        <v>736</v>
      </c>
      <c r="K824" s="118"/>
      <c r="L824" s="119"/>
      <c r="M824" s="110">
        <f>IF(L824="",I824,(MIN(J824,(L824*1.6*J824))))</f>
        <v>688</v>
      </c>
      <c r="N824" s="111">
        <f>IF(M824=0,0,(M824/J824))</f>
        <v>0.93478260869565222</v>
      </c>
    </row>
    <row r="825" spans="2:14">
      <c r="B825" s="73">
        <v>127722</v>
      </c>
      <c r="C825" s="23" t="s">
        <v>268</v>
      </c>
      <c r="D825" s="123">
        <f>SUMIF(B$3:B$3844,B825,M$3:M$3844)/(SUMIF(B$3:B$3844,B825,J$3:J$3844))</f>
        <v>0.76143103246416566</v>
      </c>
      <c r="E825" s="23">
        <v>36830</v>
      </c>
      <c r="F825" s="46" t="s">
        <v>468</v>
      </c>
      <c r="G825" s="23"/>
      <c r="H825" s="23"/>
      <c r="I825" s="41">
        <v>378</v>
      </c>
      <c r="J825" s="41">
        <v>466</v>
      </c>
      <c r="K825" s="118"/>
      <c r="L825" s="119"/>
      <c r="M825" s="110">
        <f>IF(L825="",I825,(MIN(J825,(L825*1.6*J825))))</f>
        <v>378</v>
      </c>
      <c r="N825" s="111">
        <f>IF(M825=0,0,(M825/J825))</f>
        <v>0.81115879828326176</v>
      </c>
    </row>
    <row r="826" spans="2:14">
      <c r="B826" s="72">
        <v>127722</v>
      </c>
      <c r="C826" s="47" t="s">
        <v>268</v>
      </c>
      <c r="D826" s="123">
        <f>SUMIF(B$3:B$3844,B826,M$3:M$3844)/(SUMIF(B$3:B$3844,B826,J$3:J$3844))</f>
        <v>0.76143103246416566</v>
      </c>
      <c r="E826" s="47">
        <v>36732</v>
      </c>
      <c r="F826" s="48" t="s">
        <v>469</v>
      </c>
      <c r="G826" s="47"/>
      <c r="H826" s="47"/>
      <c r="I826" s="40">
        <v>454</v>
      </c>
      <c r="J826" s="40">
        <v>562</v>
      </c>
      <c r="K826" s="118"/>
      <c r="L826" s="119"/>
      <c r="M826" s="110">
        <f>IF(L826="",I826,(MIN(J826,(L826*1.6*J826))))</f>
        <v>454</v>
      </c>
      <c r="N826" s="111">
        <f>IF(M826=0,0,(M826/J826))</f>
        <v>0.80782918149466187</v>
      </c>
    </row>
    <row r="827" spans="2:14">
      <c r="B827" s="73">
        <v>127722</v>
      </c>
      <c r="C827" s="23" t="s">
        <v>268</v>
      </c>
      <c r="D827" s="123">
        <f>SUMIF(B$3:B$3844,B827,M$3:M$3844)/(SUMIF(B$3:B$3844,B827,J$3:J$3844))</f>
        <v>0.76143103246416566</v>
      </c>
      <c r="E827" s="23">
        <v>36913</v>
      </c>
      <c r="F827" s="46" t="s">
        <v>233</v>
      </c>
      <c r="G827" s="23"/>
      <c r="H827" s="23"/>
      <c r="I827" s="41">
        <v>350</v>
      </c>
      <c r="J827" s="41">
        <v>414</v>
      </c>
      <c r="K827" s="118"/>
      <c r="L827" s="119"/>
      <c r="M827" s="110">
        <f>IF(L827="",I827,(MIN(J827,(L827*1.6*J827))))</f>
        <v>350</v>
      </c>
      <c r="N827" s="111">
        <f>IF(M827=0,0,(M827/J827))</f>
        <v>0.84541062801932365</v>
      </c>
    </row>
    <row r="828" spans="2:14">
      <c r="B828" s="72">
        <v>127722</v>
      </c>
      <c r="C828" s="47" t="s">
        <v>268</v>
      </c>
      <c r="D828" s="123">
        <f>SUMIF(B$3:B$3844,B828,M$3:M$3844)/(SUMIF(B$3:B$3844,B828,J$3:J$3844))</f>
        <v>0.76143103246416566</v>
      </c>
      <c r="E828" s="47">
        <v>36658</v>
      </c>
      <c r="F828" s="48" t="s">
        <v>470</v>
      </c>
      <c r="G828" s="47"/>
      <c r="H828" s="47"/>
      <c r="I828" s="40">
        <v>366</v>
      </c>
      <c r="J828" s="40">
        <v>407</v>
      </c>
      <c r="K828" s="118"/>
      <c r="L828" s="119"/>
      <c r="M828" s="110">
        <f>IF(L828="",I828,(MIN(J828,(L828*1.6*J828))))</f>
        <v>366</v>
      </c>
      <c r="N828" s="111">
        <f>IF(M828=0,0,(M828/J828))</f>
        <v>0.89926289926289926</v>
      </c>
    </row>
    <row r="829" spans="2:14">
      <c r="B829" s="73">
        <v>127722</v>
      </c>
      <c r="C829" s="23" t="s">
        <v>268</v>
      </c>
      <c r="D829" s="123">
        <f>SUMIF(B$3:B$3844,B829,M$3:M$3844)/(SUMIF(B$3:B$3844,B829,J$3:J$3844))</f>
        <v>0.76143103246416566</v>
      </c>
      <c r="E829" s="23">
        <v>36317</v>
      </c>
      <c r="F829" s="46" t="s">
        <v>471</v>
      </c>
      <c r="G829" s="23"/>
      <c r="H829" s="23"/>
      <c r="I829" s="41">
        <v>420</v>
      </c>
      <c r="J829" s="41">
        <v>488</v>
      </c>
      <c r="K829" s="118"/>
      <c r="L829" s="119"/>
      <c r="M829" s="110">
        <f>IF(L829="",I829,(MIN(J829,(L829*1.6*J829))))</f>
        <v>420</v>
      </c>
      <c r="N829" s="111">
        <f>IF(M829=0,0,(M829/J829))</f>
        <v>0.86065573770491799</v>
      </c>
    </row>
    <row r="830" spans="2:14">
      <c r="B830" s="72">
        <v>127722</v>
      </c>
      <c r="C830" s="47" t="s">
        <v>268</v>
      </c>
      <c r="D830" s="123">
        <f>SUMIF(B$3:B$3844,B830,M$3:M$3844)/(SUMIF(B$3:B$3844,B830,J$3:J$3844))</f>
        <v>0.76143103246416566</v>
      </c>
      <c r="E830" s="47">
        <v>36986</v>
      </c>
      <c r="F830" s="48" t="s">
        <v>472</v>
      </c>
      <c r="G830" s="47"/>
      <c r="H830" s="47"/>
      <c r="I830" s="40">
        <v>271</v>
      </c>
      <c r="J830" s="40">
        <v>346</v>
      </c>
      <c r="K830" s="118"/>
      <c r="L830" s="119"/>
      <c r="M830" s="110">
        <f>IF(L830="",I830,(MIN(J830,(L830*1.6*J830))))</f>
        <v>271</v>
      </c>
      <c r="N830" s="111">
        <f>IF(M830=0,0,(M830/J830))</f>
        <v>0.7832369942196532</v>
      </c>
    </row>
    <row r="831" spans="2:14">
      <c r="B831" s="73">
        <v>127722</v>
      </c>
      <c r="C831" s="23" t="s">
        <v>268</v>
      </c>
      <c r="D831" s="123">
        <f>SUMIF(B$3:B$3844,B831,M$3:M$3844)/(SUMIF(B$3:B$3844,B831,J$3:J$3844))</f>
        <v>0.76143103246416566</v>
      </c>
      <c r="E831" s="23">
        <v>36850</v>
      </c>
      <c r="F831" s="46" t="s">
        <v>473</v>
      </c>
      <c r="G831" s="23"/>
      <c r="H831" s="23"/>
      <c r="I831" s="41">
        <v>377</v>
      </c>
      <c r="J831" s="41">
        <v>942</v>
      </c>
      <c r="K831" s="118"/>
      <c r="L831" s="119"/>
      <c r="M831" s="110">
        <f>IF(L831="",I831,(MIN(J831,(L831*1.6*J831))))</f>
        <v>377</v>
      </c>
      <c r="N831" s="111">
        <f>IF(M831=0,0,(M831/J831))</f>
        <v>0.4002123142250531</v>
      </c>
    </row>
    <row r="832" spans="2:14">
      <c r="B832" s="72">
        <v>127722</v>
      </c>
      <c r="C832" s="47" t="s">
        <v>268</v>
      </c>
      <c r="D832" s="123">
        <f>SUMIF(B$3:B$3844,B832,M$3:M$3844)/(SUMIF(B$3:B$3844,B832,J$3:J$3844))</f>
        <v>0.76143103246416566</v>
      </c>
      <c r="E832" s="47">
        <v>36312</v>
      </c>
      <c r="F832" s="48" t="s">
        <v>474</v>
      </c>
      <c r="G832" s="47"/>
      <c r="H832" s="47"/>
      <c r="I832" s="40">
        <v>516</v>
      </c>
      <c r="J832" s="40">
        <v>566</v>
      </c>
      <c r="K832" s="118"/>
      <c r="L832" s="119"/>
      <c r="M832" s="110">
        <f>IF(L832="",I832,(MIN(J832,(L832*1.6*J832))))</f>
        <v>516</v>
      </c>
      <c r="N832" s="111">
        <f>IF(M832=0,0,(M832/J832))</f>
        <v>0.91166077738515905</v>
      </c>
    </row>
    <row r="833" spans="2:14">
      <c r="B833" s="73">
        <v>127722</v>
      </c>
      <c r="C833" s="23" t="s">
        <v>268</v>
      </c>
      <c r="D833" s="123">
        <f>SUMIF(B$3:B$3844,B833,M$3:M$3844)/(SUMIF(B$3:B$3844,B833,J$3:J$3844))</f>
        <v>0.76143103246416566</v>
      </c>
      <c r="E833" s="23">
        <v>36447</v>
      </c>
      <c r="F833" s="46" t="s">
        <v>475</v>
      </c>
      <c r="G833" s="23"/>
      <c r="H833" s="23"/>
      <c r="I833" s="41">
        <v>765</v>
      </c>
      <c r="J833" s="41">
        <v>773</v>
      </c>
      <c r="K833" s="118"/>
      <c r="L833" s="119"/>
      <c r="M833" s="110">
        <f>IF(L833="",I833,(MIN(J833,(L833*1.6*J833))))</f>
        <v>765</v>
      </c>
      <c r="N833" s="111">
        <f>IF(M833=0,0,(M833/J833))</f>
        <v>0.98965071151358341</v>
      </c>
    </row>
    <row r="834" spans="2:14">
      <c r="B834" s="72">
        <v>127722</v>
      </c>
      <c r="C834" s="47" t="s">
        <v>268</v>
      </c>
      <c r="D834" s="123">
        <f>SUMIF(B$3:B$3844,B834,M$3:M$3844)/(SUMIF(B$3:B$3844,B834,J$3:J$3844))</f>
        <v>0.76143103246416566</v>
      </c>
      <c r="E834" s="47">
        <v>36786</v>
      </c>
      <c r="F834" s="48" t="s">
        <v>476</v>
      </c>
      <c r="G834" s="47"/>
      <c r="H834" s="47"/>
      <c r="I834" s="40">
        <v>69</v>
      </c>
      <c r="J834" s="40">
        <v>314</v>
      </c>
      <c r="K834" s="118"/>
      <c r="L834" s="119"/>
      <c r="M834" s="110">
        <f>IF(L834="",I834,(MIN(J834,(L834*1.6*J834))))</f>
        <v>69</v>
      </c>
      <c r="N834" s="111">
        <f>IF(M834=0,0,(M834/J834))</f>
        <v>0.21974522292993631</v>
      </c>
    </row>
    <row r="835" spans="2:14" ht="30">
      <c r="B835" s="73">
        <v>127722</v>
      </c>
      <c r="C835" s="23" t="s">
        <v>268</v>
      </c>
      <c r="D835" s="123">
        <f>SUMIF(B$3:B$3844,B835,M$3:M$3844)/(SUMIF(B$3:B$3844,B835,J$3:J$3844))</f>
        <v>0.76143103246416566</v>
      </c>
      <c r="E835" s="23">
        <v>36797</v>
      </c>
      <c r="F835" s="46" t="s">
        <v>477</v>
      </c>
      <c r="G835" s="23"/>
      <c r="H835" s="23"/>
      <c r="I835" s="41">
        <v>482</v>
      </c>
      <c r="J835" s="41">
        <v>494</v>
      </c>
      <c r="K835" s="118"/>
      <c r="L835" s="119"/>
      <c r="M835" s="110">
        <f>IF(L835="",I835,(MIN(J835,(L835*1.6*J835))))</f>
        <v>482</v>
      </c>
      <c r="N835" s="111">
        <f>IF(M835=0,0,(M835/J835))</f>
        <v>0.97570850202429149</v>
      </c>
    </row>
    <row r="836" spans="2:14">
      <c r="B836" s="72">
        <v>127722</v>
      </c>
      <c r="C836" s="47" t="s">
        <v>268</v>
      </c>
      <c r="D836" s="123">
        <f>SUMIF(B$3:B$3844,B836,M$3:M$3844)/(SUMIF(B$3:B$3844,B836,J$3:J$3844))</f>
        <v>0.76143103246416566</v>
      </c>
      <c r="E836" s="47">
        <v>36939</v>
      </c>
      <c r="F836" s="48" t="s">
        <v>478</v>
      </c>
      <c r="G836" s="47"/>
      <c r="H836" s="47"/>
      <c r="I836" s="40">
        <v>711</v>
      </c>
      <c r="J836" s="40">
        <v>741</v>
      </c>
      <c r="K836" s="118"/>
      <c r="L836" s="119"/>
      <c r="M836" s="110">
        <f>IF(L836="",I836,(MIN(J836,(L836*1.6*J836))))</f>
        <v>711</v>
      </c>
      <c r="N836" s="111">
        <f>IF(M836=0,0,(M836/J836))</f>
        <v>0.95951417004048578</v>
      </c>
    </row>
    <row r="837" spans="2:14">
      <c r="B837" s="73">
        <v>127722</v>
      </c>
      <c r="C837" s="23" t="s">
        <v>268</v>
      </c>
      <c r="D837" s="123">
        <f>SUMIF(B$3:B$3844,B837,M$3:M$3844)/(SUMIF(B$3:B$3844,B837,J$3:J$3844))</f>
        <v>0.76143103246416566</v>
      </c>
      <c r="E837" s="23">
        <v>36691</v>
      </c>
      <c r="F837" s="46" t="s">
        <v>479</v>
      </c>
      <c r="G837" s="23"/>
      <c r="H837" s="23"/>
      <c r="I837" s="41">
        <v>249</v>
      </c>
      <c r="J837" s="41">
        <v>251</v>
      </c>
      <c r="K837" s="118"/>
      <c r="L837" s="119"/>
      <c r="M837" s="110">
        <f>IF(L837="",I837,(MIN(J837,(L837*1.6*J837))))</f>
        <v>249</v>
      </c>
      <c r="N837" s="111">
        <f>IF(M837=0,0,(M837/J837))</f>
        <v>0.99203187250996017</v>
      </c>
    </row>
    <row r="838" spans="2:14">
      <c r="B838" s="72">
        <v>127722</v>
      </c>
      <c r="C838" s="47" t="s">
        <v>268</v>
      </c>
      <c r="D838" s="123">
        <f>SUMIF(B$3:B$3844,B838,M$3:M$3844)/(SUMIF(B$3:B$3844,B838,J$3:J$3844))</f>
        <v>0.76143103246416566</v>
      </c>
      <c r="E838" s="47">
        <v>36875</v>
      </c>
      <c r="F838" s="48" t="s">
        <v>480</v>
      </c>
      <c r="G838" s="47"/>
      <c r="H838" s="47"/>
      <c r="I838" s="40">
        <v>406</v>
      </c>
      <c r="J838" s="40">
        <v>637</v>
      </c>
      <c r="K838" s="118"/>
      <c r="L838" s="119"/>
      <c r="M838" s="110">
        <f>IF(L838="",I838,(MIN(J838,(L838*1.6*J838))))</f>
        <v>406</v>
      </c>
      <c r="N838" s="111">
        <f>IF(M838=0,0,(M838/J838))</f>
        <v>0.63736263736263732</v>
      </c>
    </row>
    <row r="839" spans="2:14">
      <c r="B839" s="73">
        <v>127722</v>
      </c>
      <c r="C839" s="23" t="s">
        <v>268</v>
      </c>
      <c r="D839" s="123">
        <f>SUMIF(B$3:B$3844,B839,M$3:M$3844)/(SUMIF(B$3:B$3844,B839,J$3:J$3844))</f>
        <v>0.76143103246416566</v>
      </c>
      <c r="E839" s="23">
        <v>37042</v>
      </c>
      <c r="F839" s="46" t="s">
        <v>481</v>
      </c>
      <c r="G839" s="23"/>
      <c r="H839" s="23"/>
      <c r="I839" s="41">
        <v>1015</v>
      </c>
      <c r="J839" s="41">
        <v>1372</v>
      </c>
      <c r="K839" s="118"/>
      <c r="L839" s="119"/>
      <c r="M839" s="110">
        <f>IF(L839="",I839,(MIN(J839,(L839*1.6*J839))))</f>
        <v>1015</v>
      </c>
      <c r="N839" s="111">
        <f>IF(M839=0,0,(M839/J839))</f>
        <v>0.73979591836734693</v>
      </c>
    </row>
    <row r="840" spans="2:14">
      <c r="B840" s="72">
        <v>127722</v>
      </c>
      <c r="C840" s="47" t="s">
        <v>268</v>
      </c>
      <c r="D840" s="123">
        <f>SUMIF(B$3:B$3844,B840,M$3:M$3844)/(SUMIF(B$3:B$3844,B840,J$3:J$3844))</f>
        <v>0.76143103246416566</v>
      </c>
      <c r="E840" s="47">
        <v>36495</v>
      </c>
      <c r="F840" s="48" t="s">
        <v>482</v>
      </c>
      <c r="G840" s="47"/>
      <c r="H840" s="47"/>
      <c r="I840" s="40">
        <v>383</v>
      </c>
      <c r="J840" s="40">
        <v>385</v>
      </c>
      <c r="K840" s="118"/>
      <c r="L840" s="119"/>
      <c r="M840" s="110">
        <f>IF(L840="",I840,(MIN(J840,(L840*1.6*J840))))</f>
        <v>383</v>
      </c>
      <c r="N840" s="111">
        <f>IF(M840=0,0,(M840/J840))</f>
        <v>0.9948051948051948</v>
      </c>
    </row>
    <row r="841" spans="2:14">
      <c r="B841" s="73">
        <v>127722</v>
      </c>
      <c r="C841" s="23" t="s">
        <v>268</v>
      </c>
      <c r="D841" s="123">
        <f>SUMIF(B$3:B$3844,B841,M$3:M$3844)/(SUMIF(B$3:B$3844,B841,J$3:J$3844))</f>
        <v>0.76143103246416566</v>
      </c>
      <c r="E841" s="23">
        <v>37067</v>
      </c>
      <c r="F841" s="46" t="s">
        <v>483</v>
      </c>
      <c r="G841" s="23"/>
      <c r="H841" s="23"/>
      <c r="I841" s="41">
        <v>704</v>
      </c>
      <c r="J841" s="41">
        <v>873</v>
      </c>
      <c r="K841" s="118"/>
      <c r="L841" s="119"/>
      <c r="M841" s="110">
        <f>IF(L841="",I841,(MIN(J841,(L841*1.6*J841))))</f>
        <v>704</v>
      </c>
      <c r="N841" s="111">
        <f>IF(M841=0,0,(M841/J841))</f>
        <v>0.8064146620847652</v>
      </c>
    </row>
    <row r="842" spans="2:14">
      <c r="B842" s="72">
        <v>127722</v>
      </c>
      <c r="C842" s="47" t="s">
        <v>268</v>
      </c>
      <c r="D842" s="123">
        <f>SUMIF(B$3:B$3844,B842,M$3:M$3844)/(SUMIF(B$3:B$3844,B842,J$3:J$3844))</f>
        <v>0.76143103246416566</v>
      </c>
      <c r="E842" s="47">
        <v>36902</v>
      </c>
      <c r="F842" s="48" t="s">
        <v>484</v>
      </c>
      <c r="G842" s="47"/>
      <c r="H842" s="47"/>
      <c r="I842" s="40">
        <v>645</v>
      </c>
      <c r="J842" s="40">
        <v>756</v>
      </c>
      <c r="K842" s="118"/>
      <c r="L842" s="119"/>
      <c r="M842" s="110">
        <f>IF(L842="",I842,(MIN(J842,(L842*1.6*J842))))</f>
        <v>645</v>
      </c>
      <c r="N842" s="111">
        <f>IF(M842=0,0,(M842/J842))</f>
        <v>0.85317460317460314</v>
      </c>
    </row>
    <row r="843" spans="2:14">
      <c r="B843" s="73">
        <v>127722</v>
      </c>
      <c r="C843" s="23" t="s">
        <v>268</v>
      </c>
      <c r="D843" s="123">
        <f>SUMIF(B$3:B$3844,B843,M$3:M$3844)/(SUMIF(B$3:B$3844,B843,J$3:J$3844))</f>
        <v>0.76143103246416566</v>
      </c>
      <c r="E843" s="23">
        <v>37072</v>
      </c>
      <c r="F843" s="46" t="s">
        <v>485</v>
      </c>
      <c r="G843" s="23"/>
      <c r="H843" s="23"/>
      <c r="I843" s="41">
        <v>564</v>
      </c>
      <c r="J843" s="41">
        <v>1216</v>
      </c>
      <c r="K843" s="118"/>
      <c r="L843" s="119"/>
      <c r="M843" s="110">
        <f>IF(L843="",I843,(MIN(J843,(L843*1.6*J843))))</f>
        <v>564</v>
      </c>
      <c r="N843" s="111">
        <f>IF(M843=0,0,(M843/J843))</f>
        <v>0.46381578947368424</v>
      </c>
    </row>
    <row r="844" spans="2:14">
      <c r="B844" s="72">
        <v>127722</v>
      </c>
      <c r="C844" s="47" t="s">
        <v>268</v>
      </c>
      <c r="D844" s="123">
        <f>SUMIF(B$3:B$3844,B844,M$3:M$3844)/(SUMIF(B$3:B$3844,B844,J$3:J$3844))</f>
        <v>0.76143103246416566</v>
      </c>
      <c r="E844" s="47">
        <v>36748</v>
      </c>
      <c r="F844" s="48" t="s">
        <v>486</v>
      </c>
      <c r="G844" s="47"/>
      <c r="H844" s="47"/>
      <c r="I844" s="40">
        <v>400</v>
      </c>
      <c r="J844" s="40">
        <v>454</v>
      </c>
      <c r="K844" s="118"/>
      <c r="L844" s="119"/>
      <c r="M844" s="110">
        <f>IF(L844="",I844,(MIN(J844,(L844*1.6*J844))))</f>
        <v>400</v>
      </c>
      <c r="N844" s="111">
        <f>IF(M844=0,0,(M844/J844))</f>
        <v>0.88105726872246692</v>
      </c>
    </row>
    <row r="845" spans="2:14">
      <c r="B845" s="73">
        <v>127722</v>
      </c>
      <c r="C845" s="23" t="s">
        <v>268</v>
      </c>
      <c r="D845" s="123">
        <f>SUMIF(B$3:B$3844,B845,M$3:M$3844)/(SUMIF(B$3:B$3844,B845,J$3:J$3844))</f>
        <v>0.76143103246416566</v>
      </c>
      <c r="E845" s="23">
        <v>37052</v>
      </c>
      <c r="F845" s="46" t="s">
        <v>487</v>
      </c>
      <c r="G845" s="23"/>
      <c r="H845" s="23"/>
      <c r="I845" s="41">
        <v>833</v>
      </c>
      <c r="J845" s="41">
        <v>1404</v>
      </c>
      <c r="K845" s="118"/>
      <c r="L845" s="119"/>
      <c r="M845" s="110">
        <f>IF(L845="",I845,(MIN(J845,(L845*1.6*J845))))</f>
        <v>833</v>
      </c>
      <c r="N845" s="111">
        <f>IF(M845=0,0,(M845/J845))</f>
        <v>0.59330484330484334</v>
      </c>
    </row>
    <row r="846" spans="2:14">
      <c r="B846" s="72">
        <v>127722</v>
      </c>
      <c r="C846" s="47" t="s">
        <v>268</v>
      </c>
      <c r="D846" s="123">
        <f>SUMIF(B$3:B$3844,B846,M$3:M$3844)/(SUMIF(B$3:B$3844,B846,J$3:J$3844))</f>
        <v>0.76143103246416566</v>
      </c>
      <c r="E846" s="47">
        <v>16036340</v>
      </c>
      <c r="F846" s="48" t="s">
        <v>488</v>
      </c>
      <c r="G846" s="47"/>
      <c r="H846" s="47"/>
      <c r="I846" s="40">
        <v>634</v>
      </c>
      <c r="J846" s="40">
        <v>709</v>
      </c>
      <c r="K846" s="118"/>
      <c r="L846" s="119"/>
      <c r="M846" s="110">
        <f>IF(L846="",I846,(MIN(J846,(L846*1.6*J846))))</f>
        <v>634</v>
      </c>
      <c r="N846" s="111">
        <f>IF(M846=0,0,(M846/J846))</f>
        <v>0.89421720733427368</v>
      </c>
    </row>
    <row r="847" spans="2:14">
      <c r="B847" s="73">
        <v>127722</v>
      </c>
      <c r="C847" s="23" t="s">
        <v>268</v>
      </c>
      <c r="D847" s="123">
        <f>SUMIF(B$3:B$3844,B847,M$3:M$3844)/(SUMIF(B$3:B$3844,B847,J$3:J$3844))</f>
        <v>0.76143103246416566</v>
      </c>
      <c r="E847" s="23">
        <v>36743</v>
      </c>
      <c r="F847" s="46" t="s">
        <v>489</v>
      </c>
      <c r="G847" s="23"/>
      <c r="H847" s="23"/>
      <c r="I847" s="41">
        <v>481</v>
      </c>
      <c r="J847" s="41">
        <v>514</v>
      </c>
      <c r="K847" s="118"/>
      <c r="L847" s="119"/>
      <c r="M847" s="110">
        <f>IF(L847="",I847,(MIN(J847,(L847*1.6*J847))))</f>
        <v>481</v>
      </c>
      <c r="N847" s="111">
        <f>IF(M847=0,0,(M847/J847))</f>
        <v>0.93579766536964981</v>
      </c>
    </row>
    <row r="848" spans="2:14">
      <c r="B848" s="72">
        <v>127722</v>
      </c>
      <c r="C848" s="47" t="s">
        <v>268</v>
      </c>
      <c r="D848" s="123">
        <f>SUMIF(B$3:B$3844,B848,M$3:M$3844)/(SUMIF(B$3:B$3844,B848,J$3:J$3844))</f>
        <v>0.76143103246416566</v>
      </c>
      <c r="E848" s="47">
        <v>37032</v>
      </c>
      <c r="F848" s="48" t="s">
        <v>490</v>
      </c>
      <c r="G848" s="47"/>
      <c r="H848" s="47"/>
      <c r="I848" s="40">
        <v>435</v>
      </c>
      <c r="J848" s="40">
        <v>501</v>
      </c>
      <c r="K848" s="118"/>
      <c r="L848" s="119"/>
      <c r="M848" s="110">
        <f>IF(L848="",I848,(MIN(J848,(L848*1.6*J848))))</f>
        <v>435</v>
      </c>
      <c r="N848" s="111">
        <f>IF(M848=0,0,(M848/J848))</f>
        <v>0.86826347305389218</v>
      </c>
    </row>
    <row r="849" spans="2:14">
      <c r="B849" s="73">
        <v>127722</v>
      </c>
      <c r="C849" s="23" t="s">
        <v>268</v>
      </c>
      <c r="D849" s="123">
        <f>SUMIF(B$3:B$3844,B849,M$3:M$3844)/(SUMIF(B$3:B$3844,B849,J$3:J$3844))</f>
        <v>0.76143103246416566</v>
      </c>
      <c r="E849" s="23">
        <v>36502</v>
      </c>
      <c r="F849" s="46" t="s">
        <v>491</v>
      </c>
      <c r="G849" s="23"/>
      <c r="H849" s="23"/>
      <c r="I849" s="41">
        <v>380</v>
      </c>
      <c r="J849" s="41">
        <v>395</v>
      </c>
      <c r="K849" s="118"/>
      <c r="L849" s="119"/>
      <c r="M849" s="110">
        <f>IF(L849="",I849,(MIN(J849,(L849*1.6*J849))))</f>
        <v>380</v>
      </c>
      <c r="N849" s="111">
        <f>IF(M849=0,0,(M849/J849))</f>
        <v>0.96202531645569622</v>
      </c>
    </row>
    <row r="850" spans="2:14">
      <c r="B850" s="72">
        <v>127722</v>
      </c>
      <c r="C850" s="47" t="s">
        <v>268</v>
      </c>
      <c r="D850" s="123">
        <f>SUMIF(B$3:B$3844,B850,M$3:M$3844)/(SUMIF(B$3:B$3844,B850,J$3:J$3844))</f>
        <v>0.76143103246416566</v>
      </c>
      <c r="E850" s="47">
        <v>16036346</v>
      </c>
      <c r="F850" s="48" t="s">
        <v>492</v>
      </c>
      <c r="G850" s="47"/>
      <c r="H850" s="47"/>
      <c r="I850" s="40">
        <v>1097</v>
      </c>
      <c r="J850" s="40">
        <v>1633</v>
      </c>
      <c r="K850" s="118"/>
      <c r="L850" s="119"/>
      <c r="M850" s="110">
        <f>IF(L850="",I850,(MIN(J850,(L850*1.6*J850))))</f>
        <v>1097</v>
      </c>
      <c r="N850" s="111">
        <f>IF(M850=0,0,(M850/J850))</f>
        <v>0.67176974892835273</v>
      </c>
    </row>
    <row r="851" spans="2:14">
      <c r="B851" s="73">
        <v>127722</v>
      </c>
      <c r="C851" s="23" t="s">
        <v>268</v>
      </c>
      <c r="D851" s="123">
        <f>SUMIF(B$3:B$3844,B851,M$3:M$3844)/(SUMIF(B$3:B$3844,B851,J$3:J$3844))</f>
        <v>0.76143103246416566</v>
      </c>
      <c r="E851" s="23">
        <v>36657</v>
      </c>
      <c r="F851" s="46" t="s">
        <v>493</v>
      </c>
      <c r="G851" s="23"/>
      <c r="H851" s="23"/>
      <c r="I851" s="41">
        <v>251</v>
      </c>
      <c r="J851" s="41">
        <v>996</v>
      </c>
      <c r="K851" s="118"/>
      <c r="L851" s="119"/>
      <c r="M851" s="110">
        <f>IF(L851="",I851,(MIN(J851,(L851*1.6*J851))))</f>
        <v>251</v>
      </c>
      <c r="N851" s="111">
        <f>IF(M851=0,0,(M851/J851))</f>
        <v>0.25200803212851408</v>
      </c>
    </row>
    <row r="852" spans="2:14" ht="30">
      <c r="B852" s="72">
        <v>127722</v>
      </c>
      <c r="C852" s="47" t="s">
        <v>268</v>
      </c>
      <c r="D852" s="123">
        <f>SUMIF(B$3:B$3844,B852,M$3:M$3844)/(SUMIF(B$3:B$3844,B852,J$3:J$3844))</f>
        <v>0.76143103246416566</v>
      </c>
      <c r="E852" s="47">
        <v>37066</v>
      </c>
      <c r="F852" s="48" t="s">
        <v>494</v>
      </c>
      <c r="G852" s="47"/>
      <c r="H852" s="47"/>
      <c r="I852" s="40">
        <v>315</v>
      </c>
      <c r="J852" s="40">
        <v>471</v>
      </c>
      <c r="K852" s="118"/>
      <c r="L852" s="119"/>
      <c r="M852" s="110">
        <f>IF(L852="",I852,(MIN(J852,(L852*1.6*J852))))</f>
        <v>315</v>
      </c>
      <c r="N852" s="111">
        <f>IF(M852=0,0,(M852/J852))</f>
        <v>0.66878980891719741</v>
      </c>
    </row>
    <row r="853" spans="2:14">
      <c r="B853" s="73">
        <v>127722</v>
      </c>
      <c r="C853" s="23" t="s">
        <v>268</v>
      </c>
      <c r="D853" s="123">
        <f>SUMIF(B$3:B$3844,B853,M$3:M$3844)/(SUMIF(B$3:B$3844,B853,J$3:J$3844))</f>
        <v>0.76143103246416566</v>
      </c>
      <c r="E853" s="23">
        <v>36624</v>
      </c>
      <c r="F853" s="46" t="s">
        <v>495</v>
      </c>
      <c r="G853" s="23"/>
      <c r="H853" s="23"/>
      <c r="I853" s="41">
        <v>833</v>
      </c>
      <c r="J853" s="41">
        <v>879</v>
      </c>
      <c r="K853" s="118"/>
      <c r="L853" s="119"/>
      <c r="M853" s="110">
        <f>IF(L853="",I853,(MIN(J853,(L853*1.6*J853))))</f>
        <v>833</v>
      </c>
      <c r="N853" s="111">
        <f>IF(M853=0,0,(M853/J853))</f>
        <v>0.94766780432309439</v>
      </c>
    </row>
    <row r="854" spans="2:14" ht="30">
      <c r="B854" s="72">
        <v>127722</v>
      </c>
      <c r="C854" s="47" t="s">
        <v>268</v>
      </c>
      <c r="D854" s="123">
        <f>SUMIF(B$3:B$3844,B854,M$3:M$3844)/(SUMIF(B$3:B$3844,B854,J$3:J$3844))</f>
        <v>0.76143103246416566</v>
      </c>
      <c r="E854" s="47">
        <v>36879</v>
      </c>
      <c r="F854" s="48" t="s">
        <v>496</v>
      </c>
      <c r="G854" s="47"/>
      <c r="H854" s="47"/>
      <c r="I854" s="40">
        <v>864</v>
      </c>
      <c r="J854" s="40">
        <v>965</v>
      </c>
      <c r="K854" s="118"/>
      <c r="L854" s="119"/>
      <c r="M854" s="110">
        <f>IF(L854="",I854,(MIN(J854,(L854*1.6*J854))))</f>
        <v>864</v>
      </c>
      <c r="N854" s="111">
        <f>IF(M854=0,0,(M854/J854))</f>
        <v>0.89533678756476687</v>
      </c>
    </row>
    <row r="855" spans="2:14">
      <c r="B855" s="73">
        <v>127722</v>
      </c>
      <c r="C855" s="23" t="s">
        <v>268</v>
      </c>
      <c r="D855" s="123">
        <f>SUMIF(B$3:B$3844,B855,M$3:M$3844)/(SUMIF(B$3:B$3844,B855,J$3:J$3844))</f>
        <v>0.76143103246416566</v>
      </c>
      <c r="E855" s="23">
        <v>36966</v>
      </c>
      <c r="F855" s="46" t="s">
        <v>497</v>
      </c>
      <c r="G855" s="23"/>
      <c r="H855" s="23"/>
      <c r="I855" s="41">
        <v>543</v>
      </c>
      <c r="J855" s="41">
        <v>604</v>
      </c>
      <c r="K855" s="118"/>
      <c r="L855" s="119"/>
      <c r="M855" s="110">
        <f>IF(L855="",I855,(MIN(J855,(L855*1.6*J855))))</f>
        <v>543</v>
      </c>
      <c r="N855" s="111">
        <f>IF(M855=0,0,(M855/J855))</f>
        <v>0.89900662251655628</v>
      </c>
    </row>
    <row r="856" spans="2:14">
      <c r="B856" s="72">
        <v>127722</v>
      </c>
      <c r="C856" s="47" t="s">
        <v>268</v>
      </c>
      <c r="D856" s="123">
        <f>SUMIF(B$3:B$3844,B856,M$3:M$3844)/(SUMIF(B$3:B$3844,B856,J$3:J$3844))</f>
        <v>0.76143103246416566</v>
      </c>
      <c r="E856" s="47">
        <v>222166</v>
      </c>
      <c r="F856" s="48" t="s">
        <v>498</v>
      </c>
      <c r="G856" s="47"/>
      <c r="H856" s="47"/>
      <c r="I856" s="40">
        <v>667</v>
      </c>
      <c r="J856" s="40">
        <v>842</v>
      </c>
      <c r="K856" s="118"/>
      <c r="L856" s="119"/>
      <c r="M856" s="110">
        <f>IF(L856="",I856,(MIN(J856,(L856*1.6*J856))))</f>
        <v>667</v>
      </c>
      <c r="N856" s="111">
        <f>IF(M856=0,0,(M856/J856))</f>
        <v>0.79216152019002373</v>
      </c>
    </row>
    <row r="857" spans="2:14">
      <c r="B857" s="73">
        <v>127722</v>
      </c>
      <c r="C857" s="23" t="s">
        <v>268</v>
      </c>
      <c r="D857" s="123">
        <f>SUMIF(B$3:B$3844,B857,M$3:M$3844)/(SUMIF(B$3:B$3844,B857,J$3:J$3844))</f>
        <v>0.76143103246416566</v>
      </c>
      <c r="E857" s="23">
        <v>36315</v>
      </c>
      <c r="F857" s="46" t="s">
        <v>499</v>
      </c>
      <c r="G857" s="23"/>
      <c r="H857" s="23"/>
      <c r="I857" s="41">
        <v>825</v>
      </c>
      <c r="J857" s="41">
        <v>877</v>
      </c>
      <c r="K857" s="118"/>
      <c r="L857" s="119"/>
      <c r="M857" s="110">
        <f>IF(L857="",I857,(MIN(J857,(L857*1.6*J857))))</f>
        <v>825</v>
      </c>
      <c r="N857" s="111">
        <f>IF(M857=0,0,(M857/J857))</f>
        <v>0.94070695553021666</v>
      </c>
    </row>
    <row r="858" spans="2:14">
      <c r="B858" s="72">
        <v>127722</v>
      </c>
      <c r="C858" s="47" t="s">
        <v>268</v>
      </c>
      <c r="D858" s="123">
        <f>SUMIF(B$3:B$3844,B858,M$3:M$3844)/(SUMIF(B$3:B$3844,B858,J$3:J$3844))</f>
        <v>0.76143103246416566</v>
      </c>
      <c r="E858" s="47">
        <v>36971</v>
      </c>
      <c r="F858" s="48" t="s">
        <v>88</v>
      </c>
      <c r="G858" s="47"/>
      <c r="H858" s="47"/>
      <c r="I858" s="40">
        <v>724</v>
      </c>
      <c r="J858" s="40">
        <v>1037</v>
      </c>
      <c r="K858" s="118"/>
      <c r="L858" s="119"/>
      <c r="M858" s="110">
        <f>IF(L858="",I858,(MIN(J858,(L858*1.6*J858))))</f>
        <v>724</v>
      </c>
      <c r="N858" s="111">
        <f>IF(M858=0,0,(M858/J858))</f>
        <v>0.69816779170684662</v>
      </c>
    </row>
    <row r="859" spans="2:14">
      <c r="B859" s="73">
        <v>127722</v>
      </c>
      <c r="C859" s="23" t="s">
        <v>268</v>
      </c>
      <c r="D859" s="123">
        <f>SUMIF(B$3:B$3844,B859,M$3:M$3844)/(SUMIF(B$3:B$3844,B859,J$3:J$3844))</f>
        <v>0.76143103246416566</v>
      </c>
      <c r="E859" s="23">
        <v>37073</v>
      </c>
      <c r="F859" s="46" t="s">
        <v>500</v>
      </c>
      <c r="G859" s="23"/>
      <c r="H859" s="23"/>
      <c r="I859" s="41">
        <v>717</v>
      </c>
      <c r="J859" s="41">
        <v>948</v>
      </c>
      <c r="K859" s="118"/>
      <c r="L859" s="119"/>
      <c r="M859" s="110">
        <f>IF(L859="",I859,(MIN(J859,(L859*1.6*J859))))</f>
        <v>717</v>
      </c>
      <c r="N859" s="111">
        <f>IF(M859=0,0,(M859/J859))</f>
        <v>0.75632911392405067</v>
      </c>
    </row>
    <row r="860" spans="2:14">
      <c r="B860" s="72">
        <v>127722</v>
      </c>
      <c r="C860" s="47" t="s">
        <v>268</v>
      </c>
      <c r="D860" s="123">
        <f>SUMIF(B$3:B$3844,B860,M$3:M$3844)/(SUMIF(B$3:B$3844,B860,J$3:J$3844))</f>
        <v>0.76143103246416566</v>
      </c>
      <c r="E860" s="47">
        <v>36319</v>
      </c>
      <c r="F860" s="48" t="s">
        <v>501</v>
      </c>
      <c r="G860" s="47"/>
      <c r="H860" s="47"/>
      <c r="I860" s="40">
        <v>693</v>
      </c>
      <c r="J860" s="40">
        <v>738</v>
      </c>
      <c r="K860" s="118"/>
      <c r="L860" s="119"/>
      <c r="M860" s="110">
        <f>IF(L860="",I860,(MIN(J860,(L860*1.6*J860))))</f>
        <v>693</v>
      </c>
      <c r="N860" s="111">
        <f>IF(M860=0,0,(M860/J860))</f>
        <v>0.93902439024390238</v>
      </c>
    </row>
    <row r="861" spans="2:14">
      <c r="B861" s="73">
        <v>127722</v>
      </c>
      <c r="C861" s="23" t="s">
        <v>268</v>
      </c>
      <c r="D861" s="123">
        <f>SUMIF(B$3:B$3844,B861,M$3:M$3844)/(SUMIF(B$3:B$3844,B861,J$3:J$3844))</f>
        <v>0.76143103246416566</v>
      </c>
      <c r="E861" s="23">
        <v>37024</v>
      </c>
      <c r="F861" s="46" t="s">
        <v>502</v>
      </c>
      <c r="G861" s="23"/>
      <c r="H861" s="23"/>
      <c r="I861" s="41">
        <v>814</v>
      </c>
      <c r="J861" s="41">
        <v>1119</v>
      </c>
      <c r="K861" s="118"/>
      <c r="L861" s="119"/>
      <c r="M861" s="110">
        <f>IF(L861="",I861,(MIN(J861,(L861*1.6*J861))))</f>
        <v>814</v>
      </c>
      <c r="N861" s="111">
        <f>IF(M861=0,0,(M861/J861))</f>
        <v>0.72743521000893652</v>
      </c>
    </row>
    <row r="862" spans="2:14">
      <c r="B862" s="72">
        <v>127722</v>
      </c>
      <c r="C862" s="47" t="s">
        <v>268</v>
      </c>
      <c r="D862" s="123">
        <f>SUMIF(B$3:B$3844,B862,M$3:M$3844)/(SUMIF(B$3:B$3844,B862,J$3:J$3844))</f>
        <v>0.76143103246416566</v>
      </c>
      <c r="E862" s="47">
        <v>36444</v>
      </c>
      <c r="F862" s="48" t="s">
        <v>503</v>
      </c>
      <c r="G862" s="47"/>
      <c r="H862" s="47"/>
      <c r="I862" s="40">
        <v>644</v>
      </c>
      <c r="J862" s="40">
        <v>682</v>
      </c>
      <c r="K862" s="118"/>
      <c r="L862" s="119"/>
      <c r="M862" s="110">
        <f>IF(L862="",I862,(MIN(J862,(L862*1.6*J862))))</f>
        <v>644</v>
      </c>
      <c r="N862" s="111">
        <f>IF(M862=0,0,(M862/J862))</f>
        <v>0.94428152492668627</v>
      </c>
    </row>
    <row r="863" spans="2:14">
      <c r="B863" s="73">
        <v>127722</v>
      </c>
      <c r="C863" s="23" t="s">
        <v>268</v>
      </c>
      <c r="D863" s="123">
        <f>SUMIF(B$3:B$3844,B863,M$3:M$3844)/(SUMIF(B$3:B$3844,B863,J$3:J$3844))</f>
        <v>0.76143103246416566</v>
      </c>
      <c r="E863" s="23">
        <v>36945</v>
      </c>
      <c r="F863" s="46" t="s">
        <v>504</v>
      </c>
      <c r="G863" s="23"/>
      <c r="H863" s="23"/>
      <c r="I863" s="41">
        <v>309</v>
      </c>
      <c r="J863" s="41">
        <v>331</v>
      </c>
      <c r="K863" s="118"/>
      <c r="L863" s="119"/>
      <c r="M863" s="110">
        <f>IF(L863="",I863,(MIN(J863,(L863*1.6*J863))))</f>
        <v>309</v>
      </c>
      <c r="N863" s="111">
        <f>IF(M863=0,0,(M863/J863))</f>
        <v>0.93353474320241692</v>
      </c>
    </row>
    <row r="864" spans="2:14">
      <c r="B864" s="72">
        <v>127722</v>
      </c>
      <c r="C864" s="47" t="s">
        <v>268</v>
      </c>
      <c r="D864" s="123">
        <f>SUMIF(B$3:B$3844,B864,M$3:M$3844)/(SUMIF(B$3:B$3844,B864,J$3:J$3844))</f>
        <v>0.76143103246416566</v>
      </c>
      <c r="E864" s="47">
        <v>36894</v>
      </c>
      <c r="F864" s="48" t="s">
        <v>505</v>
      </c>
      <c r="G864" s="47"/>
      <c r="H864" s="47"/>
      <c r="I864" s="40">
        <v>1010</v>
      </c>
      <c r="J864" s="40">
        <v>1139</v>
      </c>
      <c r="K864" s="118"/>
      <c r="L864" s="119"/>
      <c r="M864" s="110">
        <f>IF(L864="",I864,(MIN(J864,(L864*1.6*J864))))</f>
        <v>1010</v>
      </c>
      <c r="N864" s="111">
        <f>IF(M864=0,0,(M864/J864))</f>
        <v>0.88674275680421422</v>
      </c>
    </row>
    <row r="865" spans="2:14">
      <c r="B865" s="73">
        <v>127722</v>
      </c>
      <c r="C865" s="23" t="s">
        <v>268</v>
      </c>
      <c r="D865" s="123">
        <f>SUMIF(B$3:B$3844,B865,M$3:M$3844)/(SUMIF(B$3:B$3844,B865,J$3:J$3844))</f>
        <v>0.76143103246416566</v>
      </c>
      <c r="E865" s="23">
        <v>36628</v>
      </c>
      <c r="F865" s="46" t="s">
        <v>506</v>
      </c>
      <c r="G865" s="23"/>
      <c r="H865" s="23"/>
      <c r="I865" s="41">
        <v>1017</v>
      </c>
      <c r="J865" s="41">
        <v>1088</v>
      </c>
      <c r="K865" s="118"/>
      <c r="L865" s="119"/>
      <c r="M865" s="110">
        <f>IF(L865="",I865,(MIN(J865,(L865*1.6*J865))))</f>
        <v>1017</v>
      </c>
      <c r="N865" s="111">
        <f>IF(M865=0,0,(M865/J865))</f>
        <v>0.93474264705882348</v>
      </c>
    </row>
    <row r="866" spans="2:14">
      <c r="B866" s="72">
        <v>127722</v>
      </c>
      <c r="C866" s="47" t="s">
        <v>268</v>
      </c>
      <c r="D866" s="123">
        <f>SUMIF(B$3:B$3844,B866,M$3:M$3844)/(SUMIF(B$3:B$3844,B866,J$3:J$3844))</f>
        <v>0.76143103246416566</v>
      </c>
      <c r="E866" s="47">
        <v>36503</v>
      </c>
      <c r="F866" s="48" t="s">
        <v>507</v>
      </c>
      <c r="G866" s="47"/>
      <c r="H866" s="47"/>
      <c r="I866" s="40">
        <v>569</v>
      </c>
      <c r="J866" s="40">
        <v>599</v>
      </c>
      <c r="K866" s="118"/>
      <c r="L866" s="119"/>
      <c r="M866" s="110">
        <f>IF(L866="",I866,(MIN(J866,(L866*1.6*J866))))</f>
        <v>569</v>
      </c>
      <c r="N866" s="111">
        <f>IF(M866=0,0,(M866/J866))</f>
        <v>0.94991652754590983</v>
      </c>
    </row>
    <row r="867" spans="2:14">
      <c r="B867" s="73">
        <v>127722</v>
      </c>
      <c r="C867" s="23" t="s">
        <v>268</v>
      </c>
      <c r="D867" s="123">
        <f>SUMIF(B$3:B$3844,B867,M$3:M$3844)/(SUMIF(B$3:B$3844,B867,J$3:J$3844))</f>
        <v>0.76143103246416566</v>
      </c>
      <c r="E867" s="23">
        <v>210309</v>
      </c>
      <c r="F867" s="46" t="s">
        <v>508</v>
      </c>
      <c r="G867" s="23"/>
      <c r="H867" s="23"/>
      <c r="I867" s="41">
        <v>621</v>
      </c>
      <c r="J867" s="41">
        <v>656</v>
      </c>
      <c r="K867" s="118"/>
      <c r="L867" s="119"/>
      <c r="M867" s="110">
        <f>IF(L867="",I867,(MIN(J867,(L867*1.6*J867))))</f>
        <v>621</v>
      </c>
      <c r="N867" s="111">
        <f>IF(M867=0,0,(M867/J867))</f>
        <v>0.94664634146341464</v>
      </c>
    </row>
    <row r="868" spans="2:14">
      <c r="B868" s="72">
        <v>127722</v>
      </c>
      <c r="C868" s="47" t="s">
        <v>268</v>
      </c>
      <c r="D868" s="123">
        <f>SUMIF(B$3:B$3844,B868,M$3:M$3844)/(SUMIF(B$3:B$3844,B868,J$3:J$3844))</f>
        <v>0.76143103246416566</v>
      </c>
      <c r="E868" s="47">
        <v>36796</v>
      </c>
      <c r="F868" s="48" t="s">
        <v>509</v>
      </c>
      <c r="G868" s="47"/>
      <c r="H868" s="47"/>
      <c r="I868" s="40">
        <v>458</v>
      </c>
      <c r="J868" s="40">
        <v>477</v>
      </c>
      <c r="K868" s="118"/>
      <c r="L868" s="119"/>
      <c r="M868" s="110">
        <f>IF(L868="",I868,(MIN(J868,(L868*1.6*J868))))</f>
        <v>458</v>
      </c>
      <c r="N868" s="111">
        <f>IF(M868=0,0,(M868/J868))</f>
        <v>0.96016771488469599</v>
      </c>
    </row>
    <row r="869" spans="2:14">
      <c r="B869" s="73">
        <v>127722</v>
      </c>
      <c r="C869" s="23" t="s">
        <v>268</v>
      </c>
      <c r="D869" s="123">
        <f>SUMIF(B$3:B$3844,B869,M$3:M$3844)/(SUMIF(B$3:B$3844,B869,J$3:J$3844))</f>
        <v>0.76143103246416566</v>
      </c>
      <c r="E869" s="23">
        <v>36812</v>
      </c>
      <c r="F869" s="46" t="s">
        <v>510</v>
      </c>
      <c r="G869" s="23"/>
      <c r="H869" s="23"/>
      <c r="I869" s="41">
        <v>691</v>
      </c>
      <c r="J869" s="41">
        <v>731</v>
      </c>
      <c r="K869" s="118"/>
      <c r="L869" s="119"/>
      <c r="M869" s="110">
        <f>IF(L869="",I869,(MIN(J869,(L869*1.6*J869))))</f>
        <v>691</v>
      </c>
      <c r="N869" s="111">
        <f>IF(M869=0,0,(M869/J869))</f>
        <v>0.94528043775649795</v>
      </c>
    </row>
    <row r="870" spans="2:14">
      <c r="B870" s="72">
        <v>127722</v>
      </c>
      <c r="C870" s="47" t="s">
        <v>268</v>
      </c>
      <c r="D870" s="123">
        <f>SUMIF(B$3:B$3844,B870,M$3:M$3844)/(SUMIF(B$3:B$3844,B870,J$3:J$3844))</f>
        <v>0.76143103246416566</v>
      </c>
      <c r="E870" s="47">
        <v>37034</v>
      </c>
      <c r="F870" s="48" t="s">
        <v>511</v>
      </c>
      <c r="G870" s="47"/>
      <c r="H870" s="47"/>
      <c r="I870" s="40">
        <v>702</v>
      </c>
      <c r="J870" s="40">
        <v>889</v>
      </c>
      <c r="K870" s="118"/>
      <c r="L870" s="119"/>
      <c r="M870" s="110">
        <f>IF(L870="",I870,(MIN(J870,(L870*1.6*J870))))</f>
        <v>702</v>
      </c>
      <c r="N870" s="111">
        <f>IF(M870=0,0,(M870/J870))</f>
        <v>0.78965129358830144</v>
      </c>
    </row>
    <row r="871" spans="2:14">
      <c r="B871" s="73">
        <v>127722</v>
      </c>
      <c r="C871" s="23" t="s">
        <v>268</v>
      </c>
      <c r="D871" s="123">
        <f>SUMIF(B$3:B$3844,B871,M$3:M$3844)/(SUMIF(B$3:B$3844,B871,J$3:J$3844))</f>
        <v>0.76143103246416566</v>
      </c>
      <c r="E871" s="23">
        <v>36338</v>
      </c>
      <c r="F871" s="46" t="s">
        <v>512</v>
      </c>
      <c r="G871" s="23"/>
      <c r="H871" s="23"/>
      <c r="I871" s="41">
        <v>920</v>
      </c>
      <c r="J871" s="41">
        <v>1093</v>
      </c>
      <c r="K871" s="118"/>
      <c r="L871" s="119"/>
      <c r="M871" s="110">
        <f>IF(L871="",I871,(MIN(J871,(L871*1.6*J871))))</f>
        <v>920</v>
      </c>
      <c r="N871" s="111">
        <f>IF(M871=0,0,(M871/J871))</f>
        <v>0.84172003659652328</v>
      </c>
    </row>
    <row r="872" spans="2:14">
      <c r="B872" s="72">
        <v>127722</v>
      </c>
      <c r="C872" s="47" t="s">
        <v>268</v>
      </c>
      <c r="D872" s="123">
        <f>SUMIF(B$3:B$3844,B872,M$3:M$3844)/(SUMIF(B$3:B$3844,B872,J$3:J$3844))</f>
        <v>0.76143103246416566</v>
      </c>
      <c r="E872" s="47">
        <v>36935</v>
      </c>
      <c r="F872" s="48" t="s">
        <v>513</v>
      </c>
      <c r="G872" s="47"/>
      <c r="H872" s="47"/>
      <c r="I872" s="40">
        <v>1057</v>
      </c>
      <c r="J872" s="40">
        <v>1202</v>
      </c>
      <c r="K872" s="118"/>
      <c r="L872" s="119"/>
      <c r="M872" s="110">
        <f>IF(L872="",I872,(MIN(J872,(L872*1.6*J872))))</f>
        <v>1057</v>
      </c>
      <c r="N872" s="111">
        <f>IF(M872=0,0,(M872/J872))</f>
        <v>0.87936772046589018</v>
      </c>
    </row>
    <row r="873" spans="2:14">
      <c r="B873" s="73">
        <v>127722</v>
      </c>
      <c r="C873" s="23" t="s">
        <v>268</v>
      </c>
      <c r="D873" s="123">
        <f>SUMIF(B$3:B$3844,B873,M$3:M$3844)/(SUMIF(B$3:B$3844,B873,J$3:J$3844))</f>
        <v>0.76143103246416566</v>
      </c>
      <c r="E873" s="23">
        <v>36719</v>
      </c>
      <c r="F873" s="46" t="s">
        <v>514</v>
      </c>
      <c r="G873" s="23"/>
      <c r="H873" s="23"/>
      <c r="I873" s="41">
        <v>724</v>
      </c>
      <c r="J873" s="41">
        <v>1030</v>
      </c>
      <c r="K873" s="118"/>
      <c r="L873" s="119"/>
      <c r="M873" s="110">
        <f>IF(L873="",I873,(MIN(J873,(L873*1.6*J873))))</f>
        <v>724</v>
      </c>
      <c r="N873" s="111">
        <f>IF(M873=0,0,(M873/J873))</f>
        <v>0.70291262135922328</v>
      </c>
    </row>
    <row r="874" spans="2:14">
      <c r="B874" s="72">
        <v>127722</v>
      </c>
      <c r="C874" s="47" t="s">
        <v>268</v>
      </c>
      <c r="D874" s="123">
        <f>SUMIF(B$3:B$3844,B874,M$3:M$3844)/(SUMIF(B$3:B$3844,B874,J$3:J$3844))</f>
        <v>0.76143103246416566</v>
      </c>
      <c r="E874" s="47">
        <v>36953</v>
      </c>
      <c r="F874" s="48" t="s">
        <v>515</v>
      </c>
      <c r="G874" s="47"/>
      <c r="H874" s="47"/>
      <c r="I874" s="40">
        <v>787</v>
      </c>
      <c r="J874" s="40">
        <v>902</v>
      </c>
      <c r="K874" s="118"/>
      <c r="L874" s="119"/>
      <c r="M874" s="110">
        <f>IF(L874="",I874,(MIN(J874,(L874*1.6*J874))))</f>
        <v>787</v>
      </c>
      <c r="N874" s="111">
        <f>IF(M874=0,0,(M874/J874))</f>
        <v>0.8725055432372506</v>
      </c>
    </row>
    <row r="875" spans="2:14">
      <c r="B875" s="73">
        <v>127722</v>
      </c>
      <c r="C875" s="23" t="s">
        <v>268</v>
      </c>
      <c r="D875" s="123">
        <f>SUMIF(B$3:B$3844,B875,M$3:M$3844)/(SUMIF(B$3:B$3844,B875,J$3:J$3844))</f>
        <v>0.76143103246416566</v>
      </c>
      <c r="E875" s="23">
        <v>36489</v>
      </c>
      <c r="F875" s="46" t="s">
        <v>516</v>
      </c>
      <c r="G875" s="23"/>
      <c r="H875" s="23"/>
      <c r="I875" s="41">
        <v>637</v>
      </c>
      <c r="J875" s="41">
        <v>669</v>
      </c>
      <c r="K875" s="118"/>
      <c r="L875" s="119"/>
      <c r="M875" s="110">
        <f>IF(L875="",I875,(MIN(J875,(L875*1.6*J875))))</f>
        <v>637</v>
      </c>
      <c r="N875" s="111">
        <f>IF(M875=0,0,(M875/J875))</f>
        <v>0.95216741405082217</v>
      </c>
    </row>
    <row r="876" spans="2:14">
      <c r="B876" s="72">
        <v>127722</v>
      </c>
      <c r="C876" s="47" t="s">
        <v>268</v>
      </c>
      <c r="D876" s="123">
        <f>SUMIF(B$3:B$3844,B876,M$3:M$3844)/(SUMIF(B$3:B$3844,B876,J$3:J$3844))</f>
        <v>0.76143103246416566</v>
      </c>
      <c r="E876" s="47">
        <v>16039013</v>
      </c>
      <c r="F876" s="48" t="s">
        <v>517</v>
      </c>
      <c r="G876" s="47"/>
      <c r="H876" s="47"/>
      <c r="I876" s="40">
        <v>670</v>
      </c>
      <c r="J876" s="40">
        <v>757</v>
      </c>
      <c r="K876" s="118"/>
      <c r="L876" s="119"/>
      <c r="M876" s="110">
        <f>IF(L876="",I876,(MIN(J876,(L876*1.6*J876))))</f>
        <v>670</v>
      </c>
      <c r="N876" s="111">
        <f>IF(M876=0,0,(M876/J876))</f>
        <v>0.88507265521796563</v>
      </c>
    </row>
    <row r="877" spans="2:14">
      <c r="B877" s="73">
        <v>127722</v>
      </c>
      <c r="C877" s="23" t="s">
        <v>268</v>
      </c>
      <c r="D877" s="123">
        <f>SUMIF(B$3:B$3844,B877,M$3:M$3844)/(SUMIF(B$3:B$3844,B877,J$3:J$3844))</f>
        <v>0.76143103246416566</v>
      </c>
      <c r="E877" s="23">
        <v>36891</v>
      </c>
      <c r="F877" s="46" t="s">
        <v>518</v>
      </c>
      <c r="G877" s="23"/>
      <c r="H877" s="23"/>
      <c r="I877" s="41">
        <v>923</v>
      </c>
      <c r="J877" s="41">
        <v>971</v>
      </c>
      <c r="K877" s="118"/>
      <c r="L877" s="119"/>
      <c r="M877" s="110">
        <f>IF(L877="",I877,(MIN(J877,(L877*1.6*J877))))</f>
        <v>923</v>
      </c>
      <c r="N877" s="111">
        <f>IF(M877=0,0,(M877/J877))</f>
        <v>0.95056642636457256</v>
      </c>
    </row>
    <row r="878" spans="2:14">
      <c r="B878" s="72">
        <v>127722</v>
      </c>
      <c r="C878" s="47" t="s">
        <v>268</v>
      </c>
      <c r="D878" s="123">
        <f>SUMIF(B$3:B$3844,B878,M$3:M$3844)/(SUMIF(B$3:B$3844,B878,J$3:J$3844))</f>
        <v>0.76143103246416566</v>
      </c>
      <c r="E878" s="47">
        <v>36307</v>
      </c>
      <c r="F878" s="48" t="s">
        <v>519</v>
      </c>
      <c r="G878" s="47"/>
      <c r="H878" s="47"/>
      <c r="I878" s="40">
        <v>952</v>
      </c>
      <c r="J878" s="40">
        <v>1032</v>
      </c>
      <c r="K878" s="118"/>
      <c r="L878" s="119"/>
      <c r="M878" s="110">
        <f>IF(L878="",I878,(MIN(J878,(L878*1.6*J878))))</f>
        <v>952</v>
      </c>
      <c r="N878" s="111">
        <f>IF(M878=0,0,(M878/J878))</f>
        <v>0.92248062015503873</v>
      </c>
    </row>
    <row r="879" spans="2:14">
      <c r="B879" s="73">
        <v>127722</v>
      </c>
      <c r="C879" s="23" t="s">
        <v>268</v>
      </c>
      <c r="D879" s="123">
        <f>SUMIF(B$3:B$3844,B879,M$3:M$3844)/(SUMIF(B$3:B$3844,B879,J$3:J$3844))</f>
        <v>0.76143103246416566</v>
      </c>
      <c r="E879" s="23">
        <v>36853</v>
      </c>
      <c r="F879" s="46" t="s">
        <v>520</v>
      </c>
      <c r="G879" s="23"/>
      <c r="H879" s="23"/>
      <c r="I879" s="41">
        <v>426</v>
      </c>
      <c r="J879" s="41">
        <v>1063</v>
      </c>
      <c r="K879" s="118"/>
      <c r="L879" s="119"/>
      <c r="M879" s="110">
        <f>IF(L879="",I879,(MIN(J879,(L879*1.6*J879))))</f>
        <v>426</v>
      </c>
      <c r="N879" s="111">
        <f>IF(M879=0,0,(M879/J879))</f>
        <v>0.40075258701787392</v>
      </c>
    </row>
    <row r="880" spans="2:14">
      <c r="B880" s="72">
        <v>127722</v>
      </c>
      <c r="C880" s="47" t="s">
        <v>268</v>
      </c>
      <c r="D880" s="123">
        <f>SUMIF(B$3:B$3844,B880,M$3:M$3844)/(SUMIF(B$3:B$3844,B880,J$3:J$3844))</f>
        <v>0.76143103246416566</v>
      </c>
      <c r="E880" s="47">
        <v>36787</v>
      </c>
      <c r="F880" s="48" t="s">
        <v>521</v>
      </c>
      <c r="G880" s="47"/>
      <c r="H880" s="47"/>
      <c r="I880" s="40">
        <v>964</v>
      </c>
      <c r="J880" s="40">
        <v>1195</v>
      </c>
      <c r="K880" s="118"/>
      <c r="L880" s="119"/>
      <c r="M880" s="110">
        <f>IF(L880="",I880,(MIN(J880,(L880*1.6*J880))))</f>
        <v>964</v>
      </c>
      <c r="N880" s="111">
        <f>IF(M880=0,0,(M880/J880))</f>
        <v>0.80669456066945611</v>
      </c>
    </row>
    <row r="881" spans="2:14">
      <c r="B881" s="73">
        <v>127722</v>
      </c>
      <c r="C881" s="23" t="s">
        <v>268</v>
      </c>
      <c r="D881" s="123">
        <f>SUMIF(B$3:B$3844,B881,M$3:M$3844)/(SUMIF(B$3:B$3844,B881,J$3:J$3844))</f>
        <v>0.76143103246416566</v>
      </c>
      <c r="E881" s="23">
        <v>16036339</v>
      </c>
      <c r="F881" s="46" t="s">
        <v>522</v>
      </c>
      <c r="G881" s="23"/>
      <c r="H881" s="23"/>
      <c r="I881" s="41">
        <v>1412</v>
      </c>
      <c r="J881" s="41">
        <v>1677</v>
      </c>
      <c r="K881" s="118"/>
      <c r="L881" s="119"/>
      <c r="M881" s="110">
        <f>IF(L881="",I881,(MIN(J881,(L881*1.6*J881))))</f>
        <v>1412</v>
      </c>
      <c r="N881" s="111">
        <f>IF(M881=0,0,(M881/J881))</f>
        <v>0.84197972570065593</v>
      </c>
    </row>
    <row r="882" spans="2:14">
      <c r="B882" s="72">
        <v>127722</v>
      </c>
      <c r="C882" s="47" t="s">
        <v>268</v>
      </c>
      <c r="D882" s="123">
        <f>SUMIF(B$3:B$3844,B882,M$3:M$3844)/(SUMIF(B$3:B$3844,B882,J$3:J$3844))</f>
        <v>0.76143103246416566</v>
      </c>
      <c r="E882" s="47">
        <v>36451</v>
      </c>
      <c r="F882" s="48" t="s">
        <v>523</v>
      </c>
      <c r="G882" s="47"/>
      <c r="H882" s="47"/>
      <c r="I882" s="40">
        <v>433</v>
      </c>
      <c r="J882" s="40">
        <v>481</v>
      </c>
      <c r="K882" s="118"/>
      <c r="L882" s="119"/>
      <c r="M882" s="110">
        <f>IF(L882="",I882,(MIN(J882,(L882*1.6*J882))))</f>
        <v>433</v>
      </c>
      <c r="N882" s="111">
        <f>IF(M882=0,0,(M882/J882))</f>
        <v>0.9002079002079002</v>
      </c>
    </row>
    <row r="883" spans="2:14">
      <c r="B883" s="73">
        <v>127722</v>
      </c>
      <c r="C883" s="23" t="s">
        <v>268</v>
      </c>
      <c r="D883" s="123">
        <f>SUMIF(B$3:B$3844,B883,M$3:M$3844)/(SUMIF(B$3:B$3844,B883,J$3:J$3844))</f>
        <v>0.76143103246416566</v>
      </c>
      <c r="E883" s="23">
        <v>16036347</v>
      </c>
      <c r="F883" s="46" t="s">
        <v>524</v>
      </c>
      <c r="G883" s="23"/>
      <c r="H883" s="23"/>
      <c r="I883" s="41">
        <v>1514</v>
      </c>
      <c r="J883" s="41">
        <v>1916</v>
      </c>
      <c r="K883" s="118"/>
      <c r="L883" s="119"/>
      <c r="M883" s="110">
        <f>IF(L883="",I883,(MIN(J883,(L883*1.6*J883))))</f>
        <v>1514</v>
      </c>
      <c r="N883" s="111">
        <f>IF(M883=0,0,(M883/J883))</f>
        <v>0.79018789144050106</v>
      </c>
    </row>
    <row r="884" spans="2:14">
      <c r="B884" s="72">
        <v>127722</v>
      </c>
      <c r="C884" s="47" t="s">
        <v>268</v>
      </c>
      <c r="D884" s="123">
        <f>SUMIF(B$3:B$3844,B884,M$3:M$3844)/(SUMIF(B$3:B$3844,B884,J$3:J$3844))</f>
        <v>0.76143103246416566</v>
      </c>
      <c r="E884" s="47">
        <v>37010</v>
      </c>
      <c r="F884" s="48" t="s">
        <v>525</v>
      </c>
      <c r="G884" s="47"/>
      <c r="H884" s="47"/>
      <c r="I884" s="40">
        <v>533</v>
      </c>
      <c r="J884" s="40">
        <v>617</v>
      </c>
      <c r="K884" s="118"/>
      <c r="L884" s="119"/>
      <c r="M884" s="110">
        <f>IF(L884="",I884,(MIN(J884,(L884*1.6*J884))))</f>
        <v>533</v>
      </c>
      <c r="N884" s="111">
        <f>IF(M884=0,0,(M884/J884))</f>
        <v>0.86385737439222043</v>
      </c>
    </row>
    <row r="885" spans="2:14">
      <c r="B885" s="73">
        <v>127722</v>
      </c>
      <c r="C885" s="23" t="s">
        <v>268</v>
      </c>
      <c r="D885" s="123">
        <f>SUMIF(B$3:B$3844,B885,M$3:M$3844)/(SUMIF(B$3:B$3844,B885,J$3:J$3844))</f>
        <v>0.76143103246416566</v>
      </c>
      <c r="E885" s="23">
        <v>36914</v>
      </c>
      <c r="F885" s="46" t="s">
        <v>526</v>
      </c>
      <c r="G885" s="23"/>
      <c r="H885" s="23"/>
      <c r="I885" s="41">
        <v>494</v>
      </c>
      <c r="J885" s="41">
        <v>597</v>
      </c>
      <c r="K885" s="118"/>
      <c r="L885" s="119"/>
      <c r="M885" s="110">
        <f>IF(L885="",I885,(MIN(J885,(L885*1.6*J885))))</f>
        <v>494</v>
      </c>
      <c r="N885" s="111">
        <f>IF(M885=0,0,(M885/J885))</f>
        <v>0.82747068676716917</v>
      </c>
    </row>
    <row r="886" spans="2:14">
      <c r="B886" s="72">
        <v>127722</v>
      </c>
      <c r="C886" s="47" t="s">
        <v>268</v>
      </c>
      <c r="D886" s="123">
        <f>SUMIF(B$3:B$3844,B886,M$3:M$3844)/(SUMIF(B$3:B$3844,B886,J$3:J$3844))</f>
        <v>0.76143103246416566</v>
      </c>
      <c r="E886" s="47">
        <v>36903</v>
      </c>
      <c r="F886" s="48" t="s">
        <v>527</v>
      </c>
      <c r="G886" s="47"/>
      <c r="H886" s="47"/>
      <c r="I886" s="40">
        <v>849</v>
      </c>
      <c r="J886" s="40">
        <v>1012</v>
      </c>
      <c r="K886" s="118"/>
      <c r="L886" s="119"/>
      <c r="M886" s="110">
        <f>IF(L886="",I886,(MIN(J886,(L886*1.6*J886))))</f>
        <v>849</v>
      </c>
      <c r="N886" s="111">
        <f>IF(M886=0,0,(M886/J886))</f>
        <v>0.83893280632411071</v>
      </c>
    </row>
    <row r="887" spans="2:14">
      <c r="B887" s="73">
        <v>127722</v>
      </c>
      <c r="C887" s="23" t="s">
        <v>268</v>
      </c>
      <c r="D887" s="123">
        <f>SUMIF(B$3:B$3844,B887,M$3:M$3844)/(SUMIF(B$3:B$3844,B887,J$3:J$3844))</f>
        <v>0.76143103246416566</v>
      </c>
      <c r="E887" s="23">
        <v>36781</v>
      </c>
      <c r="F887" s="46" t="s">
        <v>528</v>
      </c>
      <c r="G887" s="23"/>
      <c r="H887" s="23"/>
      <c r="I887" s="41">
        <v>1048</v>
      </c>
      <c r="J887" s="41">
        <v>1177</v>
      </c>
      <c r="K887" s="118"/>
      <c r="L887" s="119"/>
      <c r="M887" s="110">
        <f>IF(L887="",I887,(MIN(J887,(L887*1.6*J887))))</f>
        <v>1048</v>
      </c>
      <c r="N887" s="111">
        <f>IF(M887=0,0,(M887/J887))</f>
        <v>0.89039932030586233</v>
      </c>
    </row>
    <row r="888" spans="2:14">
      <c r="B888" s="72">
        <v>127722</v>
      </c>
      <c r="C888" s="47" t="s">
        <v>268</v>
      </c>
      <c r="D888" s="123">
        <f>SUMIF(B$3:B$3844,B888,M$3:M$3844)/(SUMIF(B$3:B$3844,B888,J$3:J$3844))</f>
        <v>0.76143103246416566</v>
      </c>
      <c r="E888" s="47">
        <v>36865</v>
      </c>
      <c r="F888" s="48" t="s">
        <v>529</v>
      </c>
      <c r="G888" s="47"/>
      <c r="H888" s="47"/>
      <c r="I888" s="40">
        <v>780</v>
      </c>
      <c r="J888" s="40">
        <v>1493</v>
      </c>
      <c r="K888" s="118"/>
      <c r="L888" s="119"/>
      <c r="M888" s="110">
        <f>IF(L888="",I888,(MIN(J888,(L888*1.6*J888))))</f>
        <v>780</v>
      </c>
      <c r="N888" s="111">
        <f>IF(M888=0,0,(M888/J888))</f>
        <v>0.52243804420629603</v>
      </c>
    </row>
    <row r="889" spans="2:14">
      <c r="B889" s="73">
        <v>127722</v>
      </c>
      <c r="C889" s="23" t="s">
        <v>268</v>
      </c>
      <c r="D889" s="123">
        <f>SUMIF(B$3:B$3844,B889,M$3:M$3844)/(SUMIF(B$3:B$3844,B889,J$3:J$3844))</f>
        <v>0.76143103246416566</v>
      </c>
      <c r="E889" s="23">
        <v>36759</v>
      </c>
      <c r="F889" s="46" t="s">
        <v>530</v>
      </c>
      <c r="G889" s="23"/>
      <c r="H889" s="23"/>
      <c r="I889" s="41">
        <v>545</v>
      </c>
      <c r="J889" s="41">
        <v>943</v>
      </c>
      <c r="K889" s="118"/>
      <c r="L889" s="119"/>
      <c r="M889" s="110">
        <f>IF(L889="",I889,(MIN(J889,(L889*1.6*J889))))</f>
        <v>545</v>
      </c>
      <c r="N889" s="111">
        <f>IF(M889=0,0,(M889/J889))</f>
        <v>0.57794273594909862</v>
      </c>
    </row>
    <row r="890" spans="2:14">
      <c r="B890" s="72">
        <v>127722</v>
      </c>
      <c r="C890" s="47" t="s">
        <v>268</v>
      </c>
      <c r="D890" s="123">
        <f>SUMIF(B$3:B$3844,B890,M$3:M$3844)/(SUMIF(B$3:B$3844,B890,J$3:J$3844))</f>
        <v>0.76143103246416566</v>
      </c>
      <c r="E890" s="47">
        <v>36983</v>
      </c>
      <c r="F890" s="48" t="s">
        <v>531</v>
      </c>
      <c r="G890" s="47"/>
      <c r="H890" s="47"/>
      <c r="I890" s="40">
        <v>928</v>
      </c>
      <c r="J890" s="40">
        <v>1189</v>
      </c>
      <c r="K890" s="118"/>
      <c r="L890" s="119"/>
      <c r="M890" s="110">
        <f>IF(L890="",I890,(MIN(J890,(L890*1.6*J890))))</f>
        <v>928</v>
      </c>
      <c r="N890" s="111">
        <f>IF(M890=0,0,(M890/J890))</f>
        <v>0.78048780487804881</v>
      </c>
    </row>
    <row r="891" spans="2:14">
      <c r="B891" s="73">
        <v>127722</v>
      </c>
      <c r="C891" s="23" t="s">
        <v>268</v>
      </c>
      <c r="D891" s="123">
        <f>SUMIF(B$3:B$3844,B891,M$3:M$3844)/(SUMIF(B$3:B$3844,B891,J$3:J$3844))</f>
        <v>0.76143103246416566</v>
      </c>
      <c r="E891" s="23">
        <v>225052</v>
      </c>
      <c r="F891" s="46" t="s">
        <v>532</v>
      </c>
      <c r="G891" s="23"/>
      <c r="H891" s="23"/>
      <c r="I891" s="41">
        <v>820</v>
      </c>
      <c r="J891" s="41">
        <v>1109</v>
      </c>
      <c r="K891" s="118"/>
      <c r="L891" s="119"/>
      <c r="M891" s="110">
        <f>IF(L891="",I891,(MIN(J891,(L891*1.6*J891))))</f>
        <v>820</v>
      </c>
      <c r="N891" s="111">
        <f>IF(M891=0,0,(M891/J891))</f>
        <v>0.739404869251578</v>
      </c>
    </row>
    <row r="892" spans="2:14">
      <c r="B892" s="72">
        <v>127722</v>
      </c>
      <c r="C892" s="47" t="s">
        <v>268</v>
      </c>
      <c r="D892" s="123">
        <f>SUMIF(B$3:B$3844,B892,M$3:M$3844)/(SUMIF(B$3:B$3844,B892,J$3:J$3844))</f>
        <v>0.76143103246416566</v>
      </c>
      <c r="E892" s="47">
        <v>36828</v>
      </c>
      <c r="F892" s="48" t="s">
        <v>533</v>
      </c>
      <c r="G892" s="47"/>
      <c r="H892" s="47"/>
      <c r="I892" s="40">
        <v>734</v>
      </c>
      <c r="J892" s="40">
        <v>792</v>
      </c>
      <c r="K892" s="118"/>
      <c r="L892" s="119"/>
      <c r="M892" s="110">
        <f>IF(L892="",I892,(MIN(J892,(L892*1.6*J892))))</f>
        <v>734</v>
      </c>
      <c r="N892" s="111">
        <f>IF(M892=0,0,(M892/J892))</f>
        <v>0.9267676767676768</v>
      </c>
    </row>
    <row r="893" spans="2:14" ht="30">
      <c r="B893" s="73">
        <v>127722</v>
      </c>
      <c r="C893" s="23" t="s">
        <v>268</v>
      </c>
      <c r="D893" s="123">
        <f>SUMIF(B$3:B$3844,B893,M$3:M$3844)/(SUMIF(B$3:B$3844,B893,J$3:J$3844))</f>
        <v>0.76143103246416566</v>
      </c>
      <c r="E893" s="23">
        <v>16055034</v>
      </c>
      <c r="F893" s="46" t="s">
        <v>534</v>
      </c>
      <c r="G893" s="23"/>
      <c r="H893" s="23"/>
      <c r="I893" s="41">
        <v>114</v>
      </c>
      <c r="J893" s="41">
        <v>306</v>
      </c>
      <c r="K893" s="118"/>
      <c r="L893" s="119"/>
      <c r="M893" s="110">
        <f>IF(L893="",I893,(MIN(J893,(L893*1.6*J893))))</f>
        <v>114</v>
      </c>
      <c r="N893" s="111">
        <f>IF(M893=0,0,(M893/J893))</f>
        <v>0.37254901960784315</v>
      </c>
    </row>
    <row r="894" spans="2:14">
      <c r="B894" s="72">
        <v>127722</v>
      </c>
      <c r="C894" s="47" t="s">
        <v>268</v>
      </c>
      <c r="D894" s="123">
        <f>SUMIF(B$3:B$3844,B894,M$3:M$3844)/(SUMIF(B$3:B$3844,B894,J$3:J$3844))</f>
        <v>0.76143103246416566</v>
      </c>
      <c r="E894" s="47">
        <v>16080439</v>
      </c>
      <c r="F894" s="48" t="s">
        <v>535</v>
      </c>
      <c r="G894" s="47"/>
      <c r="H894" s="47"/>
      <c r="I894" s="40">
        <v>172</v>
      </c>
      <c r="J894" s="40">
        <v>196</v>
      </c>
      <c r="K894" s="118"/>
      <c r="L894" s="119"/>
      <c r="M894" s="110">
        <f>IF(L894="",I894,(MIN(J894,(L894*1.6*J894))))</f>
        <v>172</v>
      </c>
      <c r="N894" s="111">
        <f>IF(M894=0,0,(M894/J894))</f>
        <v>0.87755102040816324</v>
      </c>
    </row>
    <row r="895" spans="2:14">
      <c r="B895" s="73">
        <v>127722</v>
      </c>
      <c r="C895" s="23" t="s">
        <v>268</v>
      </c>
      <c r="D895" s="123">
        <f>SUMIF(B$3:B$3844,B895,M$3:M$3844)/(SUMIF(B$3:B$3844,B895,J$3:J$3844))</f>
        <v>0.76143103246416566</v>
      </c>
      <c r="E895" s="23">
        <v>16080440</v>
      </c>
      <c r="F895" s="46" t="s">
        <v>536</v>
      </c>
      <c r="G895" s="23"/>
      <c r="H895" s="23"/>
      <c r="I895" s="41">
        <v>169</v>
      </c>
      <c r="J895" s="41">
        <v>260</v>
      </c>
      <c r="K895" s="118"/>
      <c r="L895" s="119"/>
      <c r="M895" s="110">
        <f>IF(L895="",I895,(MIN(J895,(L895*1.6*J895))))</f>
        <v>169</v>
      </c>
      <c r="N895" s="111">
        <f>IF(M895=0,0,(M895/J895))</f>
        <v>0.65</v>
      </c>
    </row>
    <row r="896" spans="2:14">
      <c r="B896" s="72">
        <v>127722</v>
      </c>
      <c r="C896" s="47" t="s">
        <v>268</v>
      </c>
      <c r="D896" s="123">
        <f>SUMIF(B$3:B$3844,B896,M$3:M$3844)/(SUMIF(B$3:B$3844,B896,J$3:J$3844))</f>
        <v>0.76143103246416566</v>
      </c>
      <c r="E896" s="47">
        <v>36341</v>
      </c>
      <c r="F896" s="48" t="s">
        <v>537</v>
      </c>
      <c r="G896" s="47"/>
      <c r="H896" s="47"/>
      <c r="I896" s="40">
        <v>1739</v>
      </c>
      <c r="J896" s="40">
        <v>2170</v>
      </c>
      <c r="K896" s="118"/>
      <c r="L896" s="119"/>
      <c r="M896" s="110">
        <f>IF(L896="",I896,(MIN(J896,(L896*1.6*J896))))</f>
        <v>1739</v>
      </c>
      <c r="N896" s="111">
        <f>IF(M896=0,0,(M896/J896))</f>
        <v>0.80138248847926263</v>
      </c>
    </row>
    <row r="897" spans="2:14" ht="30">
      <c r="B897" s="73">
        <v>127722</v>
      </c>
      <c r="C897" s="23" t="s">
        <v>268</v>
      </c>
      <c r="D897" s="123">
        <f>SUMIF(B$3:B$3844,B897,M$3:M$3844)/(SUMIF(B$3:B$3844,B897,J$3:J$3844))</f>
        <v>0.76143103246416566</v>
      </c>
      <c r="E897" s="23">
        <v>16080441</v>
      </c>
      <c r="F897" s="46" t="s">
        <v>538</v>
      </c>
      <c r="G897" s="23"/>
      <c r="H897" s="23"/>
      <c r="I897" s="41">
        <v>120</v>
      </c>
      <c r="J897" s="41">
        <v>142</v>
      </c>
      <c r="K897" s="118"/>
      <c r="L897" s="119"/>
      <c r="M897" s="110">
        <f>IF(L897="",I897,(MIN(J897,(L897*1.6*J897))))</f>
        <v>120</v>
      </c>
      <c r="N897" s="111">
        <f>IF(M897=0,0,(M897/J897))</f>
        <v>0.84507042253521125</v>
      </c>
    </row>
    <row r="898" spans="2:14">
      <c r="B898" s="72">
        <v>127722</v>
      </c>
      <c r="C898" s="47" t="s">
        <v>268</v>
      </c>
      <c r="D898" s="123">
        <f>SUMIF(B$3:B$3844,B898,M$3:M$3844)/(SUMIF(B$3:B$3844,B898,J$3:J$3844))</f>
        <v>0.76143103246416566</v>
      </c>
      <c r="E898" s="47">
        <v>16055033</v>
      </c>
      <c r="F898" s="48" t="s">
        <v>539</v>
      </c>
      <c r="G898" s="47"/>
      <c r="H898" s="47"/>
      <c r="I898" s="40">
        <v>749</v>
      </c>
      <c r="J898" s="40">
        <v>1826</v>
      </c>
      <c r="K898" s="118"/>
      <c r="L898" s="119"/>
      <c r="M898" s="110">
        <f>IF(L898="",I898,(MIN(J898,(L898*1.6*J898))))</f>
        <v>749</v>
      </c>
      <c r="N898" s="111">
        <f>IF(M898=0,0,(M898/J898))</f>
        <v>0.41018619934282585</v>
      </c>
    </row>
    <row r="899" spans="2:14">
      <c r="B899" s="73">
        <v>127722</v>
      </c>
      <c r="C899" s="23" t="s">
        <v>268</v>
      </c>
      <c r="D899" s="123">
        <f>SUMIF(B$3:B$3844,B899,M$3:M$3844)/(SUMIF(B$3:B$3844,B899,J$3:J$3844))</f>
        <v>0.76143103246416566</v>
      </c>
      <c r="E899" s="23">
        <v>16080442</v>
      </c>
      <c r="F899" s="46" t="s">
        <v>540</v>
      </c>
      <c r="G899" s="23"/>
      <c r="H899" s="23"/>
      <c r="I899" s="41">
        <v>131</v>
      </c>
      <c r="J899" s="41">
        <v>217</v>
      </c>
      <c r="K899" s="118"/>
      <c r="L899" s="119"/>
      <c r="M899" s="110">
        <f>IF(L899="",I899,(MIN(J899,(L899*1.6*J899))))</f>
        <v>131</v>
      </c>
      <c r="N899" s="111">
        <f>IF(M899=0,0,(M899/J899))</f>
        <v>0.60368663594470051</v>
      </c>
    </row>
    <row r="900" spans="2:14" ht="30">
      <c r="B900" s="72">
        <v>127722</v>
      </c>
      <c r="C900" s="47" t="s">
        <v>268</v>
      </c>
      <c r="D900" s="123">
        <f>SUMIF(B$3:B$3844,B900,M$3:M$3844)/(SUMIF(B$3:B$3844,B900,J$3:J$3844))</f>
        <v>0.76143103246416566</v>
      </c>
      <c r="E900" s="47">
        <v>16055036</v>
      </c>
      <c r="F900" s="48" t="s">
        <v>541</v>
      </c>
      <c r="G900" s="47"/>
      <c r="H900" s="47"/>
      <c r="I900" s="40">
        <v>282</v>
      </c>
      <c r="J900" s="40">
        <v>348</v>
      </c>
      <c r="K900" s="118"/>
      <c r="L900" s="119"/>
      <c r="M900" s="110">
        <f>IF(L900="",I900,(MIN(J900,(L900*1.6*J900))))</f>
        <v>282</v>
      </c>
      <c r="N900" s="111">
        <f>IF(M900=0,0,(M900/J900))</f>
        <v>0.81034482758620685</v>
      </c>
    </row>
    <row r="901" spans="2:14">
      <c r="B901" s="73">
        <v>127722</v>
      </c>
      <c r="C901" s="23" t="s">
        <v>268</v>
      </c>
      <c r="D901" s="123">
        <f>SUMIF(B$3:B$3844,B901,M$3:M$3844)/(SUMIF(B$3:B$3844,B901,J$3:J$3844))</f>
        <v>0.76143103246416566</v>
      </c>
      <c r="E901" s="23">
        <v>169125</v>
      </c>
      <c r="F901" s="46" t="s">
        <v>542</v>
      </c>
      <c r="G901" s="23"/>
      <c r="H901" s="23"/>
      <c r="I901" s="41">
        <v>60</v>
      </c>
      <c r="J901" s="41">
        <v>112</v>
      </c>
      <c r="K901" s="118"/>
      <c r="L901" s="119"/>
      <c r="M901" s="110">
        <f>IF(L901="",I901,(MIN(J901,(L901*1.6*J901))))</f>
        <v>60</v>
      </c>
      <c r="N901" s="111">
        <f>IF(M901=0,0,(M901/J901))</f>
        <v>0.5357142857142857</v>
      </c>
    </row>
    <row r="902" spans="2:14" ht="30">
      <c r="B902" s="72">
        <v>127722</v>
      </c>
      <c r="C902" s="47" t="s">
        <v>268</v>
      </c>
      <c r="D902" s="123">
        <f>SUMIF(B$3:B$3844,B902,M$3:M$3844)/(SUMIF(B$3:B$3844,B902,J$3:J$3844))</f>
        <v>0.76143103246416566</v>
      </c>
      <c r="E902" s="47">
        <v>16039007</v>
      </c>
      <c r="F902" s="48" t="s">
        <v>543</v>
      </c>
      <c r="G902" s="47"/>
      <c r="H902" s="47"/>
      <c r="I902" s="40">
        <v>967</v>
      </c>
      <c r="J902" s="40">
        <v>1565</v>
      </c>
      <c r="K902" s="118"/>
      <c r="L902" s="119"/>
      <c r="M902" s="110">
        <f>IF(L902="",I902,(MIN(J902,(L902*1.6*J902))))</f>
        <v>967</v>
      </c>
      <c r="N902" s="111">
        <f>IF(M902=0,0,(M902/J902))</f>
        <v>0.61789137380191694</v>
      </c>
    </row>
    <row r="903" spans="2:14">
      <c r="B903" s="73">
        <v>127722</v>
      </c>
      <c r="C903" s="23" t="s">
        <v>268</v>
      </c>
      <c r="D903" s="123">
        <f>SUMIF(B$3:B$3844,B903,M$3:M$3844)/(SUMIF(B$3:B$3844,B903,J$3:J$3844))</f>
        <v>0.76143103246416566</v>
      </c>
      <c r="E903" s="23">
        <v>16039005</v>
      </c>
      <c r="F903" s="46" t="s">
        <v>544</v>
      </c>
      <c r="G903" s="23"/>
      <c r="H903" s="23"/>
      <c r="I903" s="41">
        <v>1793</v>
      </c>
      <c r="J903" s="41">
        <v>2053</v>
      </c>
      <c r="K903" s="118"/>
      <c r="L903" s="119"/>
      <c r="M903" s="110">
        <f>IF(L903="",I903,(MIN(J903,(L903*1.6*J903))))</f>
        <v>1793</v>
      </c>
      <c r="N903" s="111">
        <f>IF(M903=0,0,(M903/J903))</f>
        <v>0.87335606429615198</v>
      </c>
    </row>
    <row r="904" spans="2:14">
      <c r="B904" s="72">
        <v>127722</v>
      </c>
      <c r="C904" s="47" t="s">
        <v>268</v>
      </c>
      <c r="D904" s="123">
        <f>SUMIF(B$3:B$3844,B904,M$3:M$3844)/(SUMIF(B$3:B$3844,B904,J$3:J$3844))</f>
        <v>0.76143103246416566</v>
      </c>
      <c r="E904" s="47">
        <v>37048</v>
      </c>
      <c r="F904" s="48" t="s">
        <v>545</v>
      </c>
      <c r="G904" s="47"/>
      <c r="H904" s="47"/>
      <c r="I904" s="40">
        <v>2684</v>
      </c>
      <c r="J904" s="40">
        <v>3574</v>
      </c>
      <c r="K904" s="118"/>
      <c r="L904" s="119"/>
      <c r="M904" s="110">
        <f>IF(L904="",I904,(MIN(J904,(L904*1.6*J904))))</f>
        <v>2684</v>
      </c>
      <c r="N904" s="111">
        <f>IF(M904=0,0,(M904/J904))</f>
        <v>0.75097929490766646</v>
      </c>
    </row>
    <row r="905" spans="2:14">
      <c r="B905" s="73">
        <v>127722</v>
      </c>
      <c r="C905" s="23" t="s">
        <v>268</v>
      </c>
      <c r="D905" s="123">
        <f>SUMIF(B$3:B$3844,B905,M$3:M$3844)/(SUMIF(B$3:B$3844,B905,J$3:J$3844))</f>
        <v>0.76143103246416566</v>
      </c>
      <c r="E905" s="23">
        <v>16039001</v>
      </c>
      <c r="F905" s="46" t="s">
        <v>546</v>
      </c>
      <c r="G905" s="23"/>
      <c r="H905" s="23"/>
      <c r="I905" s="41">
        <v>257</v>
      </c>
      <c r="J905" s="41">
        <v>401</v>
      </c>
      <c r="K905" s="118"/>
      <c r="L905" s="119"/>
      <c r="M905" s="110">
        <f>IF(L905="",I905,(MIN(J905,(L905*1.6*J905))))</f>
        <v>257</v>
      </c>
      <c r="N905" s="111">
        <f>IF(M905=0,0,(M905/J905))</f>
        <v>0.64089775561097262</v>
      </c>
    </row>
    <row r="906" spans="2:14">
      <c r="B906" s="72">
        <v>127722</v>
      </c>
      <c r="C906" s="47" t="s">
        <v>268</v>
      </c>
      <c r="D906" s="123">
        <f>SUMIF(B$3:B$3844,B906,M$3:M$3844)/(SUMIF(B$3:B$3844,B906,J$3:J$3844))</f>
        <v>0.76143103246416566</v>
      </c>
      <c r="E906" s="47">
        <v>16039012</v>
      </c>
      <c r="F906" s="48" t="s">
        <v>547</v>
      </c>
      <c r="G906" s="47"/>
      <c r="H906" s="47"/>
      <c r="I906" s="40">
        <v>197</v>
      </c>
      <c r="J906" s="40">
        <v>225</v>
      </c>
      <c r="K906" s="118"/>
      <c r="L906" s="119"/>
      <c r="M906" s="110">
        <f>IF(L906="",I906,(MIN(J906,(L906*1.6*J906))))</f>
        <v>197</v>
      </c>
      <c r="N906" s="111">
        <f>IF(M906=0,0,(M906/J906))</f>
        <v>0.87555555555555553</v>
      </c>
    </row>
    <row r="907" spans="2:14">
      <c r="B907" s="73">
        <v>127722</v>
      </c>
      <c r="C907" s="23" t="s">
        <v>268</v>
      </c>
      <c r="D907" s="123">
        <f>SUMIF(B$3:B$3844,B907,M$3:M$3844)/(SUMIF(B$3:B$3844,B907,J$3:J$3844))</f>
        <v>0.76143103246416566</v>
      </c>
      <c r="E907" s="23">
        <v>36941</v>
      </c>
      <c r="F907" s="46" t="s">
        <v>548</v>
      </c>
      <c r="G907" s="23"/>
      <c r="H907" s="23"/>
      <c r="I907" s="41">
        <v>70</v>
      </c>
      <c r="J907" s="41">
        <v>104</v>
      </c>
      <c r="K907" s="118"/>
      <c r="L907" s="119"/>
      <c r="M907" s="110">
        <f>IF(L907="",I907,(MIN(J907,(L907*1.6*J907))))</f>
        <v>70</v>
      </c>
      <c r="N907" s="111">
        <f>IF(M907=0,0,(M907/J907))</f>
        <v>0.67307692307692313</v>
      </c>
    </row>
    <row r="908" spans="2:14" ht="30">
      <c r="B908" s="72">
        <v>127722</v>
      </c>
      <c r="C908" s="47" t="s">
        <v>268</v>
      </c>
      <c r="D908" s="123">
        <f>SUMIF(B$3:B$3844,B908,M$3:M$3844)/(SUMIF(B$3:B$3844,B908,J$3:J$3844))</f>
        <v>0.76143103246416566</v>
      </c>
      <c r="E908" s="47">
        <v>16080438</v>
      </c>
      <c r="F908" s="48" t="s">
        <v>549</v>
      </c>
      <c r="G908" s="47"/>
      <c r="H908" s="47"/>
      <c r="I908" s="40">
        <v>157</v>
      </c>
      <c r="J908" s="40">
        <v>188</v>
      </c>
      <c r="K908" s="118"/>
      <c r="L908" s="119"/>
      <c r="M908" s="110">
        <f>IF(L908="",I908,(MIN(J908,(L908*1.6*J908))))</f>
        <v>157</v>
      </c>
      <c r="N908" s="111">
        <f>IF(M908=0,0,(M908/J908))</f>
        <v>0.83510638297872342</v>
      </c>
    </row>
    <row r="909" spans="2:14">
      <c r="B909" s="73">
        <v>127722</v>
      </c>
      <c r="C909" s="23" t="s">
        <v>268</v>
      </c>
      <c r="D909" s="123">
        <f>SUMIF(B$3:B$3844,B909,M$3:M$3844)/(SUMIF(B$3:B$3844,B909,J$3:J$3844))</f>
        <v>0.76143103246416566</v>
      </c>
      <c r="E909" s="23">
        <v>36785</v>
      </c>
      <c r="F909" s="46" t="s">
        <v>550</v>
      </c>
      <c r="G909" s="23"/>
      <c r="H909" s="23"/>
      <c r="I909" s="41">
        <v>2408</v>
      </c>
      <c r="J909" s="41">
        <v>3422</v>
      </c>
      <c r="K909" s="118"/>
      <c r="L909" s="119"/>
      <c r="M909" s="110">
        <f>IF(L909="",I909,(MIN(J909,(L909*1.6*J909))))</f>
        <v>2408</v>
      </c>
      <c r="N909" s="111">
        <f>IF(M909=0,0,(M909/J909))</f>
        <v>0.7036820572764465</v>
      </c>
    </row>
    <row r="910" spans="2:14">
      <c r="B910" s="72">
        <v>127722</v>
      </c>
      <c r="C910" s="47" t="s">
        <v>268</v>
      </c>
      <c r="D910" s="123">
        <f>SUMIF(B$3:B$3844,B910,M$3:M$3844)/(SUMIF(B$3:B$3844,B910,J$3:J$3844))</f>
        <v>0.76143103246416566</v>
      </c>
      <c r="E910" s="47">
        <v>36700</v>
      </c>
      <c r="F910" s="48" t="s">
        <v>551</v>
      </c>
      <c r="G910" s="47"/>
      <c r="H910" s="47"/>
      <c r="I910" s="40">
        <v>189</v>
      </c>
      <c r="J910" s="40">
        <v>511</v>
      </c>
      <c r="K910" s="118"/>
      <c r="L910" s="119"/>
      <c r="M910" s="110">
        <f>IF(L910="",I910,(MIN(J910,(L910*1.6*J910))))</f>
        <v>189</v>
      </c>
      <c r="N910" s="111">
        <f>IF(M910=0,0,(M910/J910))</f>
        <v>0.36986301369863012</v>
      </c>
    </row>
    <row r="911" spans="2:14">
      <c r="B911" s="73">
        <v>127722</v>
      </c>
      <c r="C911" s="23" t="s">
        <v>268</v>
      </c>
      <c r="D911" s="123">
        <f>SUMIF(B$3:B$3844,B911,M$3:M$3844)/(SUMIF(B$3:B$3844,B911,J$3:J$3844))</f>
        <v>0.76143103246416566</v>
      </c>
      <c r="E911" s="23">
        <v>37002</v>
      </c>
      <c r="F911" s="46" t="s">
        <v>552</v>
      </c>
      <c r="G911" s="23"/>
      <c r="H911" s="23"/>
      <c r="I911" s="41">
        <v>89</v>
      </c>
      <c r="J911" s="41">
        <v>224</v>
      </c>
      <c r="K911" s="118"/>
      <c r="L911" s="119"/>
      <c r="M911" s="110">
        <f>IF(L911="",I911,(MIN(J911,(L911*1.6*J911))))</f>
        <v>89</v>
      </c>
      <c r="N911" s="111">
        <f>IF(M911=0,0,(M911/J911))</f>
        <v>0.39732142857142855</v>
      </c>
    </row>
    <row r="912" spans="2:14">
      <c r="B912" s="72">
        <v>127722</v>
      </c>
      <c r="C912" s="47" t="s">
        <v>268</v>
      </c>
      <c r="D912" s="123">
        <f>SUMIF(B$3:B$3844,B912,M$3:M$3844)/(SUMIF(B$3:B$3844,B912,J$3:J$3844))</f>
        <v>0.76143103246416566</v>
      </c>
      <c r="E912" s="47">
        <v>36859</v>
      </c>
      <c r="F912" s="48" t="s">
        <v>553</v>
      </c>
      <c r="G912" s="47"/>
      <c r="H912" s="47"/>
      <c r="I912" s="40">
        <v>1441</v>
      </c>
      <c r="J912" s="40">
        <v>3366</v>
      </c>
      <c r="K912" s="118"/>
      <c r="L912" s="119"/>
      <c r="M912" s="110">
        <f>IF(L912="",I912,(MIN(J912,(L912*1.6*J912))))</f>
        <v>1441</v>
      </c>
      <c r="N912" s="111">
        <f>IF(M912=0,0,(M912/J912))</f>
        <v>0.42810457516339867</v>
      </c>
    </row>
    <row r="913" spans="2:14">
      <c r="B913" s="73">
        <v>127722</v>
      </c>
      <c r="C913" s="23" t="s">
        <v>268</v>
      </c>
      <c r="D913" s="123">
        <f>SUMIF(B$3:B$3844,B913,M$3:M$3844)/(SUMIF(B$3:B$3844,B913,J$3:J$3844))</f>
        <v>0.76143103246416566</v>
      </c>
      <c r="E913" s="23">
        <v>36322</v>
      </c>
      <c r="F913" s="46" t="s">
        <v>554</v>
      </c>
      <c r="G913" s="23"/>
      <c r="H913" s="23"/>
      <c r="I913" s="41">
        <v>2190</v>
      </c>
      <c r="J913" s="41">
        <v>2543</v>
      </c>
      <c r="K913" s="118"/>
      <c r="L913" s="119"/>
      <c r="M913" s="110">
        <f>IF(L913="",I913,(MIN(J913,(L913*1.6*J913))))</f>
        <v>2190</v>
      </c>
      <c r="N913" s="111">
        <f>IF(M913=0,0,(M913/J913))</f>
        <v>0.86118757373181287</v>
      </c>
    </row>
    <row r="914" spans="2:14">
      <c r="B914" s="72">
        <v>127722</v>
      </c>
      <c r="C914" s="47" t="s">
        <v>268</v>
      </c>
      <c r="D914" s="123">
        <f>SUMIF(B$3:B$3844,B914,M$3:M$3844)/(SUMIF(B$3:B$3844,B914,J$3:J$3844))</f>
        <v>0.76143103246416566</v>
      </c>
      <c r="E914" s="47">
        <v>232941</v>
      </c>
      <c r="F914" s="48" t="s">
        <v>555</v>
      </c>
      <c r="G914" s="47"/>
      <c r="H914" s="47"/>
      <c r="I914" s="40">
        <v>2801</v>
      </c>
      <c r="J914" s="40">
        <v>4213</v>
      </c>
      <c r="K914" s="118"/>
      <c r="L914" s="119"/>
      <c r="M914" s="110">
        <f>IF(L914="",I914,(MIN(J914,(L914*1.6*J914))))</f>
        <v>2801</v>
      </c>
      <c r="N914" s="111">
        <f>IF(M914=0,0,(M914/J914))</f>
        <v>0.6648469024448137</v>
      </c>
    </row>
    <row r="915" spans="2:14">
      <c r="B915" s="73">
        <v>127722</v>
      </c>
      <c r="C915" s="23" t="s">
        <v>268</v>
      </c>
      <c r="D915" s="123">
        <f>SUMIF(B$3:B$3844,B915,M$3:M$3844)/(SUMIF(B$3:B$3844,B915,J$3:J$3844))</f>
        <v>0.76143103246416566</v>
      </c>
      <c r="E915" s="23">
        <v>36330</v>
      </c>
      <c r="F915" s="46" t="s">
        <v>556</v>
      </c>
      <c r="G915" s="23"/>
      <c r="H915" s="23"/>
      <c r="I915" s="41">
        <v>1460</v>
      </c>
      <c r="J915" s="41">
        <v>1695</v>
      </c>
      <c r="K915" s="118"/>
      <c r="L915" s="119"/>
      <c r="M915" s="110">
        <f>IF(L915="",I915,(MIN(J915,(L915*1.6*J915))))</f>
        <v>1460</v>
      </c>
      <c r="N915" s="111">
        <f>IF(M915=0,0,(M915/J915))</f>
        <v>0.86135693215339237</v>
      </c>
    </row>
    <row r="916" spans="2:14">
      <c r="B916" s="72">
        <v>127722</v>
      </c>
      <c r="C916" s="47" t="s">
        <v>268</v>
      </c>
      <c r="D916" s="123">
        <f>SUMIF(B$3:B$3844,B916,M$3:M$3844)/(SUMIF(B$3:B$3844,B916,J$3:J$3844))</f>
        <v>0.76143103246416566</v>
      </c>
      <c r="E916" s="47">
        <v>203340</v>
      </c>
      <c r="F916" s="48" t="s">
        <v>557</v>
      </c>
      <c r="G916" s="47"/>
      <c r="H916" s="47"/>
      <c r="I916" s="40">
        <v>1547</v>
      </c>
      <c r="J916" s="40">
        <v>2720</v>
      </c>
      <c r="K916" s="118"/>
      <c r="L916" s="119"/>
      <c r="M916" s="110">
        <f>IF(L916="",I916,(MIN(J916,(L916*1.6*J916))))</f>
        <v>1547</v>
      </c>
      <c r="N916" s="111">
        <f>IF(M916=0,0,(M916/J916))</f>
        <v>0.56874999999999998</v>
      </c>
    </row>
    <row r="917" spans="2:14">
      <c r="B917" s="73">
        <v>127722</v>
      </c>
      <c r="C917" s="23" t="s">
        <v>268</v>
      </c>
      <c r="D917" s="123">
        <f>SUMIF(B$3:B$3844,B917,M$3:M$3844)/(SUMIF(B$3:B$3844,B917,J$3:J$3844))</f>
        <v>0.76143103246416566</v>
      </c>
      <c r="E917" s="23">
        <v>36465</v>
      </c>
      <c r="F917" s="46" t="s">
        <v>558</v>
      </c>
      <c r="G917" s="23"/>
      <c r="H917" s="23"/>
      <c r="I917" s="41">
        <v>1641</v>
      </c>
      <c r="J917" s="41">
        <v>1840</v>
      </c>
      <c r="K917" s="118"/>
      <c r="L917" s="119"/>
      <c r="M917" s="110">
        <f>IF(L917="",I917,(MIN(J917,(L917*1.6*J917))))</f>
        <v>1641</v>
      </c>
      <c r="N917" s="111">
        <f>IF(M917=0,0,(M917/J917))</f>
        <v>0.89184782608695656</v>
      </c>
    </row>
    <row r="918" spans="2:14">
      <c r="B918" s="72">
        <v>127722</v>
      </c>
      <c r="C918" s="47" t="s">
        <v>268</v>
      </c>
      <c r="D918" s="123">
        <f>SUMIF(B$3:B$3844,B918,M$3:M$3844)/(SUMIF(B$3:B$3844,B918,J$3:J$3844))</f>
        <v>0.76143103246416566</v>
      </c>
      <c r="E918" s="47">
        <v>36805</v>
      </c>
      <c r="F918" s="48" t="s">
        <v>559</v>
      </c>
      <c r="G918" s="47"/>
      <c r="H918" s="47"/>
      <c r="I918" s="40">
        <v>250</v>
      </c>
      <c r="J918" s="40">
        <v>1142</v>
      </c>
      <c r="K918" s="118"/>
      <c r="L918" s="119"/>
      <c r="M918" s="110">
        <f>IF(L918="",I918,(MIN(J918,(L918*1.6*J918))))</f>
        <v>250</v>
      </c>
      <c r="N918" s="111">
        <f>IF(M918=0,0,(M918/J918))</f>
        <v>0.21891418563922943</v>
      </c>
    </row>
    <row r="919" spans="2:14" ht="30">
      <c r="B919" s="73">
        <v>127722</v>
      </c>
      <c r="C919" s="23" t="s">
        <v>268</v>
      </c>
      <c r="D919" s="123">
        <f>SUMIF(B$3:B$3844,B919,M$3:M$3844)/(SUMIF(B$3:B$3844,B919,J$3:J$3844))</f>
        <v>0.76143103246416566</v>
      </c>
      <c r="E919" s="23">
        <v>16061062</v>
      </c>
      <c r="F919" s="46" t="s">
        <v>560</v>
      </c>
      <c r="G919" s="23"/>
      <c r="H919" s="23"/>
      <c r="I919" s="41">
        <v>362</v>
      </c>
      <c r="J919" s="41">
        <v>514</v>
      </c>
      <c r="K919" s="118"/>
      <c r="L919" s="119"/>
      <c r="M919" s="110">
        <f>IF(L919="",I919,(MIN(J919,(L919*1.6*J919))))</f>
        <v>362</v>
      </c>
      <c r="N919" s="111">
        <f>IF(M919=0,0,(M919/J919))</f>
        <v>0.7042801556420234</v>
      </c>
    </row>
    <row r="920" spans="2:14">
      <c r="B920" s="72">
        <v>127722</v>
      </c>
      <c r="C920" s="47" t="s">
        <v>268</v>
      </c>
      <c r="D920" s="123">
        <f>SUMIF(B$3:B$3844,B920,M$3:M$3844)/(SUMIF(B$3:B$3844,B920,J$3:J$3844))</f>
        <v>0.76143103246416566</v>
      </c>
      <c r="E920" s="47">
        <v>16039011</v>
      </c>
      <c r="F920" s="48" t="s">
        <v>561</v>
      </c>
      <c r="G920" s="47"/>
      <c r="H920" s="47"/>
      <c r="I920" s="40">
        <v>2610</v>
      </c>
      <c r="J920" s="40">
        <v>3128</v>
      </c>
      <c r="K920" s="118"/>
      <c r="L920" s="119"/>
      <c r="M920" s="110">
        <f>IF(L920="",I920,(MIN(J920,(L920*1.6*J920))))</f>
        <v>2610</v>
      </c>
      <c r="N920" s="111">
        <f>IF(M920=0,0,(M920/J920))</f>
        <v>0.8343989769820972</v>
      </c>
    </row>
    <row r="921" spans="2:14">
      <c r="B921" s="73">
        <v>127722</v>
      </c>
      <c r="C921" s="23" t="s">
        <v>268</v>
      </c>
      <c r="D921" s="123">
        <f>SUMIF(B$3:B$3844,B921,M$3:M$3844)/(SUMIF(B$3:B$3844,B921,J$3:J$3844))</f>
        <v>0.76143103246416566</v>
      </c>
      <c r="E921" s="23">
        <v>36711</v>
      </c>
      <c r="F921" s="46" t="s">
        <v>562</v>
      </c>
      <c r="G921" s="23"/>
      <c r="H921" s="23"/>
      <c r="I921" s="41">
        <v>1594</v>
      </c>
      <c r="J921" s="41">
        <v>2435</v>
      </c>
      <c r="K921" s="118"/>
      <c r="L921" s="119"/>
      <c r="M921" s="110">
        <f>IF(L921="",I921,(MIN(J921,(L921*1.6*J921))))</f>
        <v>1594</v>
      </c>
      <c r="N921" s="111">
        <f>IF(M921=0,0,(M921/J921))</f>
        <v>0.65462012320328544</v>
      </c>
    </row>
    <row r="922" spans="2:14">
      <c r="B922" s="72">
        <v>127722</v>
      </c>
      <c r="C922" s="47" t="s">
        <v>268</v>
      </c>
      <c r="D922" s="123">
        <f>SUMIF(B$3:B$3844,B922,M$3:M$3844)/(SUMIF(B$3:B$3844,B922,J$3:J$3844))</f>
        <v>0.76143103246416566</v>
      </c>
      <c r="E922" s="47">
        <v>36513</v>
      </c>
      <c r="F922" s="48" t="s">
        <v>563</v>
      </c>
      <c r="G922" s="47"/>
      <c r="H922" s="47"/>
      <c r="I922" s="40">
        <v>1229</v>
      </c>
      <c r="J922" s="40">
        <v>1410</v>
      </c>
      <c r="K922" s="118"/>
      <c r="L922" s="119"/>
      <c r="M922" s="110">
        <f>IF(L922="",I922,(MIN(J922,(L922*1.6*J922))))</f>
        <v>1229</v>
      </c>
      <c r="N922" s="111">
        <f>IF(M922=0,0,(M922/J922))</f>
        <v>0.87163120567375885</v>
      </c>
    </row>
    <row r="923" spans="2:14">
      <c r="B923" s="73">
        <v>127722</v>
      </c>
      <c r="C923" s="23" t="s">
        <v>268</v>
      </c>
      <c r="D923" s="123">
        <f>SUMIF(B$3:B$3844,B923,M$3:M$3844)/(SUMIF(B$3:B$3844,B923,J$3:J$3844))</f>
        <v>0.76143103246416566</v>
      </c>
      <c r="E923" s="23">
        <v>16036349</v>
      </c>
      <c r="F923" s="46" t="s">
        <v>564</v>
      </c>
      <c r="G923" s="23"/>
      <c r="H923" s="23"/>
      <c r="I923" s="41">
        <v>981</v>
      </c>
      <c r="J923" s="41">
        <v>2169</v>
      </c>
      <c r="K923" s="118"/>
      <c r="L923" s="119"/>
      <c r="M923" s="110">
        <f>IF(L923="",I923,(MIN(J923,(L923*1.6*J923))))</f>
        <v>981</v>
      </c>
      <c r="N923" s="111">
        <f>IF(M923=0,0,(M923/J923))</f>
        <v>0.45228215767634855</v>
      </c>
    </row>
    <row r="924" spans="2:14">
      <c r="B924" s="72">
        <v>127722</v>
      </c>
      <c r="C924" s="47" t="s">
        <v>268</v>
      </c>
      <c r="D924" s="123">
        <f>SUMIF(B$3:B$3844,B924,M$3:M$3844)/(SUMIF(B$3:B$3844,B924,J$3:J$3844))</f>
        <v>0.76143103246416566</v>
      </c>
      <c r="E924" s="47">
        <v>36794</v>
      </c>
      <c r="F924" s="48" t="s">
        <v>565</v>
      </c>
      <c r="G924" s="47"/>
      <c r="H924" s="47"/>
      <c r="I924" s="40">
        <v>1569</v>
      </c>
      <c r="J924" s="40">
        <v>1832</v>
      </c>
      <c r="K924" s="118"/>
      <c r="L924" s="119"/>
      <c r="M924" s="110">
        <f>IF(L924="",I924,(MIN(J924,(L924*1.6*J924))))</f>
        <v>1569</v>
      </c>
      <c r="N924" s="111">
        <f>IF(M924=0,0,(M924/J924))</f>
        <v>0.85644104803493448</v>
      </c>
    </row>
    <row r="925" spans="2:14">
      <c r="B925" s="73">
        <v>127722</v>
      </c>
      <c r="C925" s="23" t="s">
        <v>268</v>
      </c>
      <c r="D925" s="123">
        <f>SUMIF(B$3:B$3844,B925,M$3:M$3844)/(SUMIF(B$3:B$3844,B925,J$3:J$3844))</f>
        <v>0.76143103246416566</v>
      </c>
      <c r="E925" s="23">
        <v>36926</v>
      </c>
      <c r="F925" s="46" t="s">
        <v>566</v>
      </c>
      <c r="G925" s="23"/>
      <c r="H925" s="23"/>
      <c r="I925" s="41">
        <v>2145</v>
      </c>
      <c r="J925" s="41">
        <v>2654</v>
      </c>
      <c r="K925" s="118"/>
      <c r="L925" s="119"/>
      <c r="M925" s="110">
        <f>IF(L925="",I925,(MIN(J925,(L925*1.6*J925))))</f>
        <v>2145</v>
      </c>
      <c r="N925" s="111">
        <f>IF(M925=0,0,(M925/J925))</f>
        <v>0.80821401657874903</v>
      </c>
    </row>
    <row r="926" spans="2:14">
      <c r="B926" s="72">
        <v>127722</v>
      </c>
      <c r="C926" s="47" t="s">
        <v>268</v>
      </c>
      <c r="D926" s="123">
        <f>SUMIF(B$3:B$3844,B926,M$3:M$3844)/(SUMIF(B$3:B$3844,B926,J$3:J$3844))</f>
        <v>0.76143103246416566</v>
      </c>
      <c r="E926" s="47">
        <v>16071674</v>
      </c>
      <c r="F926" s="48" t="s">
        <v>567</v>
      </c>
      <c r="G926" s="47"/>
      <c r="H926" s="47"/>
      <c r="I926" s="40">
        <v>566</v>
      </c>
      <c r="J926" s="40">
        <v>733</v>
      </c>
      <c r="K926" s="118"/>
      <c r="L926" s="119"/>
      <c r="M926" s="110">
        <f>IF(L926="",I926,(MIN(J926,(L926*1.6*J926))))</f>
        <v>566</v>
      </c>
      <c r="N926" s="111">
        <f>IF(M926=0,0,(M926/J926))</f>
        <v>0.77216916780354705</v>
      </c>
    </row>
    <row r="927" spans="2:14">
      <c r="B927" s="73">
        <v>127722</v>
      </c>
      <c r="C927" s="23" t="s">
        <v>268</v>
      </c>
      <c r="D927" s="123">
        <f>SUMIF(B$3:B$3844,B927,M$3:M$3844)/(SUMIF(B$3:B$3844,B927,J$3:J$3844))</f>
        <v>0.76143103246416566</v>
      </c>
      <c r="E927" s="23">
        <v>36630</v>
      </c>
      <c r="F927" s="46" t="s">
        <v>568</v>
      </c>
      <c r="G927" s="23"/>
      <c r="H927" s="23"/>
      <c r="I927" s="41">
        <v>664</v>
      </c>
      <c r="J927" s="41">
        <v>802</v>
      </c>
      <c r="K927" s="118"/>
      <c r="L927" s="119"/>
      <c r="M927" s="110">
        <f>IF(L927="",I927,(MIN(J927,(L927*1.6*J927))))</f>
        <v>664</v>
      </c>
      <c r="N927" s="111">
        <f>IF(M927=0,0,(M927/J927))</f>
        <v>0.82793017456359097</v>
      </c>
    </row>
    <row r="928" spans="2:14">
      <c r="B928" s="72">
        <v>127722</v>
      </c>
      <c r="C928" s="47" t="s">
        <v>268</v>
      </c>
      <c r="D928" s="123">
        <f>SUMIF(B$3:B$3844,B928,M$3:M$3844)/(SUMIF(B$3:B$3844,B928,J$3:J$3844))</f>
        <v>0.76143103246416566</v>
      </c>
      <c r="E928" s="47">
        <v>36752</v>
      </c>
      <c r="F928" s="48" t="s">
        <v>569</v>
      </c>
      <c r="G928" s="47"/>
      <c r="H928" s="47"/>
      <c r="I928" s="40">
        <v>1465</v>
      </c>
      <c r="J928" s="40">
        <v>1581</v>
      </c>
      <c r="K928" s="118"/>
      <c r="L928" s="119"/>
      <c r="M928" s="110">
        <f>IF(L928="",I928,(MIN(J928,(L928*1.6*J928))))</f>
        <v>1465</v>
      </c>
      <c r="N928" s="111">
        <f>IF(M928=0,0,(M928/J928))</f>
        <v>0.92662871600253005</v>
      </c>
    </row>
    <row r="929" spans="2:14" ht="30">
      <c r="B929" s="73">
        <v>127722</v>
      </c>
      <c r="C929" s="23" t="s">
        <v>268</v>
      </c>
      <c r="D929" s="123">
        <f>SUMIF(B$3:B$3844,B929,M$3:M$3844)/(SUMIF(B$3:B$3844,B929,J$3:J$3844))</f>
        <v>0.76143103246416566</v>
      </c>
      <c r="E929" s="23">
        <v>16071441</v>
      </c>
      <c r="F929" s="46" t="s">
        <v>570</v>
      </c>
      <c r="G929" s="23"/>
      <c r="H929" s="23"/>
      <c r="I929" s="41">
        <v>546</v>
      </c>
      <c r="J929" s="41">
        <v>631</v>
      </c>
      <c r="K929" s="118"/>
      <c r="L929" s="119"/>
      <c r="M929" s="110">
        <f>IF(L929="",I929,(MIN(J929,(L929*1.6*J929))))</f>
        <v>546</v>
      </c>
      <c r="N929" s="111">
        <f>IF(M929=0,0,(M929/J929))</f>
        <v>0.86529318541996836</v>
      </c>
    </row>
    <row r="930" spans="2:14">
      <c r="B930" s="72">
        <v>127722</v>
      </c>
      <c r="C930" s="47" t="s">
        <v>268</v>
      </c>
      <c r="D930" s="123">
        <f>SUMIF(B$3:B$3844,B930,M$3:M$3844)/(SUMIF(B$3:B$3844,B930,J$3:J$3844))</f>
        <v>0.76143103246416566</v>
      </c>
      <c r="E930" s="47">
        <v>36999</v>
      </c>
      <c r="F930" s="48" t="s">
        <v>571</v>
      </c>
      <c r="G930" s="47"/>
      <c r="H930" s="47"/>
      <c r="I930" s="40">
        <v>1393</v>
      </c>
      <c r="J930" s="40">
        <v>2178</v>
      </c>
      <c r="K930" s="118"/>
      <c r="L930" s="119"/>
      <c r="M930" s="110">
        <f>IF(L930="",I930,(MIN(J930,(L930*1.6*J930))))</f>
        <v>1393</v>
      </c>
      <c r="N930" s="111">
        <f>IF(M930=0,0,(M930/J930))</f>
        <v>0.63957759412304871</v>
      </c>
    </row>
    <row r="931" spans="2:14">
      <c r="B931" s="73">
        <v>127722</v>
      </c>
      <c r="C931" s="23" t="s">
        <v>268</v>
      </c>
      <c r="D931" s="123">
        <f>SUMIF(B$3:B$3844,B931,M$3:M$3844)/(SUMIF(B$3:B$3844,B931,J$3:J$3844))</f>
        <v>0.76143103246416566</v>
      </c>
      <c r="E931" s="23">
        <v>37013</v>
      </c>
      <c r="F931" s="46" t="s">
        <v>572</v>
      </c>
      <c r="G931" s="23"/>
      <c r="H931" s="23"/>
      <c r="I931" s="41">
        <v>1707</v>
      </c>
      <c r="J931" s="41">
        <v>2305</v>
      </c>
      <c r="K931" s="118"/>
      <c r="L931" s="119"/>
      <c r="M931" s="110">
        <f>IF(L931="",I931,(MIN(J931,(L931*1.6*J931))))</f>
        <v>1707</v>
      </c>
      <c r="N931" s="111">
        <f>IF(M931=0,0,(M931/J931))</f>
        <v>0.74056399132321038</v>
      </c>
    </row>
    <row r="932" spans="2:14">
      <c r="B932" s="72">
        <v>127722</v>
      </c>
      <c r="C932" s="47" t="s">
        <v>268</v>
      </c>
      <c r="D932" s="123">
        <f>SUMIF(B$3:B$3844,B932,M$3:M$3844)/(SUMIF(B$3:B$3844,B932,J$3:J$3844))</f>
        <v>0.76143103246416566</v>
      </c>
      <c r="E932" s="47">
        <v>36949</v>
      </c>
      <c r="F932" s="48" t="s">
        <v>573</v>
      </c>
      <c r="G932" s="47"/>
      <c r="H932" s="47"/>
      <c r="I932" s="40">
        <v>1353</v>
      </c>
      <c r="J932" s="40">
        <v>1712</v>
      </c>
      <c r="K932" s="118"/>
      <c r="L932" s="119"/>
      <c r="M932" s="110">
        <f>IF(L932="",I932,(MIN(J932,(L932*1.6*J932))))</f>
        <v>1353</v>
      </c>
      <c r="N932" s="111">
        <f>IF(M932=0,0,(M932/J932))</f>
        <v>0.79030373831775702</v>
      </c>
    </row>
    <row r="933" spans="2:14">
      <c r="B933" s="73">
        <v>127722</v>
      </c>
      <c r="C933" s="23" t="s">
        <v>268</v>
      </c>
      <c r="D933" s="123">
        <f>SUMIF(B$3:B$3844,B933,M$3:M$3844)/(SUMIF(B$3:B$3844,B933,J$3:J$3844))</f>
        <v>0.76143103246416566</v>
      </c>
      <c r="E933" s="23">
        <v>222180</v>
      </c>
      <c r="F933" s="46" t="s">
        <v>574</v>
      </c>
      <c r="G933" s="23"/>
      <c r="H933" s="23"/>
      <c r="I933" s="41">
        <v>1193</v>
      </c>
      <c r="J933" s="41">
        <v>1501</v>
      </c>
      <c r="K933" s="118"/>
      <c r="L933" s="119"/>
      <c r="M933" s="110">
        <f>IF(L933="",I933,(MIN(J933,(L933*1.6*J933))))</f>
        <v>1193</v>
      </c>
      <c r="N933" s="111">
        <f>IF(M933=0,0,(M933/J933))</f>
        <v>0.79480346435709526</v>
      </c>
    </row>
    <row r="934" spans="2:14">
      <c r="B934" s="72">
        <v>127722</v>
      </c>
      <c r="C934" s="47" t="s">
        <v>268</v>
      </c>
      <c r="D934" s="123">
        <f>SUMIF(B$3:B$3844,B934,M$3:M$3844)/(SUMIF(B$3:B$3844,B934,J$3:J$3844))</f>
        <v>0.76143103246416566</v>
      </c>
      <c r="E934" s="47">
        <v>36818</v>
      </c>
      <c r="F934" s="48" t="s">
        <v>575</v>
      </c>
      <c r="G934" s="47"/>
      <c r="H934" s="47"/>
      <c r="I934" s="40">
        <v>1411</v>
      </c>
      <c r="J934" s="40">
        <v>1640</v>
      </c>
      <c r="K934" s="118"/>
      <c r="L934" s="119"/>
      <c r="M934" s="110">
        <f>IF(L934="",I934,(MIN(J934,(L934*1.6*J934))))</f>
        <v>1411</v>
      </c>
      <c r="N934" s="111">
        <f>IF(M934=0,0,(M934/J934))</f>
        <v>0.86036585365853657</v>
      </c>
    </row>
    <row r="935" spans="2:14">
      <c r="B935" s="73">
        <v>127722</v>
      </c>
      <c r="C935" s="23" t="s">
        <v>268</v>
      </c>
      <c r="D935" s="123">
        <f>SUMIF(B$3:B$3844,B935,M$3:M$3844)/(SUMIF(B$3:B$3844,B935,J$3:J$3844))</f>
        <v>0.76143103246416566</v>
      </c>
      <c r="E935" s="23">
        <v>36849</v>
      </c>
      <c r="F935" s="46" t="s">
        <v>576</v>
      </c>
      <c r="G935" s="23"/>
      <c r="H935" s="23"/>
      <c r="I935" s="41">
        <v>994</v>
      </c>
      <c r="J935" s="41">
        <v>2588</v>
      </c>
      <c r="K935" s="118"/>
      <c r="L935" s="119"/>
      <c r="M935" s="110">
        <f>IF(L935="",I935,(MIN(J935,(L935*1.6*J935))))</f>
        <v>994</v>
      </c>
      <c r="N935" s="111">
        <f>IF(M935=0,0,(M935/J935))</f>
        <v>0.384080370942813</v>
      </c>
    </row>
    <row r="936" spans="2:14">
      <c r="B936" s="72">
        <v>127722</v>
      </c>
      <c r="C936" s="47" t="s">
        <v>268</v>
      </c>
      <c r="D936" s="123">
        <f>SUMIF(B$3:B$3844,B936,M$3:M$3844)/(SUMIF(B$3:B$3844,B936,J$3:J$3844))</f>
        <v>0.76143103246416566</v>
      </c>
      <c r="E936" s="47">
        <v>36679</v>
      </c>
      <c r="F936" s="48" t="s">
        <v>577</v>
      </c>
      <c r="G936" s="47"/>
      <c r="H936" s="47"/>
      <c r="I936" s="40">
        <v>2571</v>
      </c>
      <c r="J936" s="40">
        <v>2986</v>
      </c>
      <c r="K936" s="118"/>
      <c r="L936" s="119"/>
      <c r="M936" s="110">
        <f>IF(L936="",I936,(MIN(J936,(L936*1.6*J936))))</f>
        <v>2571</v>
      </c>
      <c r="N936" s="111">
        <f>IF(M936=0,0,(M936/J936))</f>
        <v>0.86101808439383787</v>
      </c>
    </row>
    <row r="937" spans="2:14">
      <c r="B937" s="73">
        <v>127722</v>
      </c>
      <c r="C937" s="23" t="s">
        <v>268</v>
      </c>
      <c r="D937" s="123">
        <f>SUMIF(B$3:B$3844,B937,M$3:M$3844)/(SUMIF(B$3:B$3844,B937,J$3:J$3844))</f>
        <v>0.76143103246416566</v>
      </c>
      <c r="E937" s="23">
        <v>36930</v>
      </c>
      <c r="F937" s="46" t="s">
        <v>578</v>
      </c>
      <c r="G937" s="23"/>
      <c r="H937" s="23"/>
      <c r="I937" s="41">
        <v>1394</v>
      </c>
      <c r="J937" s="41">
        <v>1687</v>
      </c>
      <c r="K937" s="118"/>
      <c r="L937" s="119"/>
      <c r="M937" s="110">
        <f>IF(L937="",I937,(MIN(J937,(L937*1.6*J937))))</f>
        <v>1394</v>
      </c>
      <c r="N937" s="111">
        <f>IF(M937=0,0,(M937/J937))</f>
        <v>0.82631890930646112</v>
      </c>
    </row>
    <row r="938" spans="2:14">
      <c r="B938" s="72">
        <v>127722</v>
      </c>
      <c r="C938" s="47" t="s">
        <v>268</v>
      </c>
      <c r="D938" s="123">
        <f>SUMIF(B$3:B$3844,B938,M$3:M$3844)/(SUMIF(B$3:B$3844,B938,J$3:J$3844))</f>
        <v>0.76143103246416566</v>
      </c>
      <c r="E938" s="47">
        <v>37036</v>
      </c>
      <c r="F938" s="48" t="s">
        <v>579</v>
      </c>
      <c r="G938" s="47"/>
      <c r="H938" s="47"/>
      <c r="I938" s="40">
        <v>1235</v>
      </c>
      <c r="J938" s="40">
        <v>1572</v>
      </c>
      <c r="K938" s="118"/>
      <c r="L938" s="119"/>
      <c r="M938" s="110">
        <f>IF(L938="",I938,(MIN(J938,(L938*1.6*J938))))</f>
        <v>1235</v>
      </c>
      <c r="N938" s="111">
        <f>IF(M938=0,0,(M938/J938))</f>
        <v>0.78562340966921118</v>
      </c>
    </row>
    <row r="939" spans="2:14">
      <c r="B939" s="73">
        <v>127722</v>
      </c>
      <c r="C939" s="23" t="s">
        <v>268</v>
      </c>
      <c r="D939" s="123">
        <f>SUMIF(B$3:B$3844,B939,M$3:M$3844)/(SUMIF(B$3:B$3844,B939,J$3:J$3844))</f>
        <v>0.76143103246416566</v>
      </c>
      <c r="E939" s="23">
        <v>36895</v>
      </c>
      <c r="F939" s="46" t="s">
        <v>580</v>
      </c>
      <c r="G939" s="23"/>
      <c r="H939" s="23"/>
      <c r="I939" s="41">
        <v>1394</v>
      </c>
      <c r="J939" s="41">
        <v>1700</v>
      </c>
      <c r="K939" s="118"/>
      <c r="L939" s="119"/>
      <c r="M939" s="110">
        <f>IF(L939="",I939,(MIN(J939,(L939*1.6*J939))))</f>
        <v>1394</v>
      </c>
      <c r="N939" s="111">
        <f>IF(M939=0,0,(M939/J939))</f>
        <v>0.82</v>
      </c>
    </row>
    <row r="940" spans="2:14">
      <c r="B940" s="72">
        <v>127722</v>
      </c>
      <c r="C940" s="47" t="s">
        <v>268</v>
      </c>
      <c r="D940" s="123">
        <f>SUMIF(B$3:B$3844,B940,M$3:M$3844)/(SUMIF(B$3:B$3844,B940,J$3:J$3844))</f>
        <v>0.76143103246416566</v>
      </c>
      <c r="E940" s="47">
        <v>16045092</v>
      </c>
      <c r="F940" s="48" t="s">
        <v>581</v>
      </c>
      <c r="G940" s="47"/>
      <c r="H940" s="47"/>
      <c r="I940" s="40">
        <v>65</v>
      </c>
      <c r="J940" s="40">
        <v>113</v>
      </c>
      <c r="K940" s="118"/>
      <c r="L940" s="119"/>
      <c r="M940" s="110">
        <f>IF(L940="",I940,(MIN(J940,(L940*1.6*J940))))</f>
        <v>65</v>
      </c>
      <c r="N940" s="111">
        <f>IF(M940=0,0,(M940/J940))</f>
        <v>0.5752212389380531</v>
      </c>
    </row>
    <row r="941" spans="2:14">
      <c r="B941" s="73">
        <v>127722</v>
      </c>
      <c r="C941" s="23" t="s">
        <v>268</v>
      </c>
      <c r="D941" s="123">
        <f>SUMIF(B$3:B$3844,B941,M$3:M$3844)/(SUMIF(B$3:B$3844,B941,J$3:J$3844))</f>
        <v>0.76143103246416566</v>
      </c>
      <c r="E941" s="23">
        <v>16036310</v>
      </c>
      <c r="F941" s="46" t="s">
        <v>582</v>
      </c>
      <c r="G941" s="23"/>
      <c r="H941" s="23"/>
      <c r="I941" s="41">
        <v>177</v>
      </c>
      <c r="J941" s="41">
        <v>355</v>
      </c>
      <c r="K941" s="118"/>
      <c r="L941" s="119"/>
      <c r="M941" s="110">
        <f>IF(L941="",I941,(MIN(J941,(L941*1.6*J941))))</f>
        <v>177</v>
      </c>
      <c r="N941" s="111">
        <f>IF(M941=0,0,(M941/J941))</f>
        <v>0.49859154929577465</v>
      </c>
    </row>
    <row r="942" spans="2:14">
      <c r="B942" s="72">
        <v>127722</v>
      </c>
      <c r="C942" s="47" t="s">
        <v>268</v>
      </c>
      <c r="D942" s="123">
        <f>SUMIF(B$3:B$3844,B942,M$3:M$3844)/(SUMIF(B$3:B$3844,B942,J$3:J$3844))</f>
        <v>0.76143103246416566</v>
      </c>
      <c r="E942" s="47">
        <v>16060914</v>
      </c>
      <c r="F942" s="48" t="s">
        <v>583</v>
      </c>
      <c r="G942" s="47"/>
      <c r="H942" s="47"/>
      <c r="I942" s="40">
        <v>282</v>
      </c>
      <c r="J942" s="40">
        <v>679</v>
      </c>
      <c r="K942" s="118"/>
      <c r="L942" s="119"/>
      <c r="M942" s="110">
        <f>IF(L942="",I942,(MIN(J942,(L942*1.6*J942))))</f>
        <v>282</v>
      </c>
      <c r="N942" s="111">
        <f>IF(M942=0,0,(M942/J942))</f>
        <v>0.41531664212076586</v>
      </c>
    </row>
    <row r="943" spans="2:14">
      <c r="B943" s="73">
        <v>127722</v>
      </c>
      <c r="C943" s="23" t="s">
        <v>268</v>
      </c>
      <c r="D943" s="123">
        <f>SUMIF(B$3:B$3844,B943,M$3:M$3844)/(SUMIF(B$3:B$3844,B943,J$3:J$3844))</f>
        <v>0.76143103246416566</v>
      </c>
      <c r="E943" s="23">
        <v>36884</v>
      </c>
      <c r="F943" s="46" t="s">
        <v>584</v>
      </c>
      <c r="G943" s="23"/>
      <c r="H943" s="23"/>
      <c r="I943" s="41">
        <v>2289</v>
      </c>
      <c r="J943" s="41">
        <v>2578</v>
      </c>
      <c r="K943" s="118"/>
      <c r="L943" s="119"/>
      <c r="M943" s="110">
        <f>IF(L943="",I943,(MIN(J943,(L943*1.6*J943))))</f>
        <v>2289</v>
      </c>
      <c r="N943" s="111">
        <f>IF(M943=0,0,(M943/J943))</f>
        <v>0.88789759503491084</v>
      </c>
    </row>
    <row r="944" spans="2:14" ht="30">
      <c r="B944" s="72">
        <v>127722</v>
      </c>
      <c r="C944" s="47" t="s">
        <v>268</v>
      </c>
      <c r="D944" s="123">
        <f>SUMIF(B$3:B$3844,B944,M$3:M$3844)/(SUMIF(B$3:B$3844,B944,J$3:J$3844))</f>
        <v>0.76143103246416566</v>
      </c>
      <c r="E944" s="47">
        <v>36790</v>
      </c>
      <c r="F944" s="48" t="s">
        <v>585</v>
      </c>
      <c r="G944" s="47"/>
      <c r="H944" s="47"/>
      <c r="I944" s="40">
        <v>1299</v>
      </c>
      <c r="J944" s="40">
        <v>1470</v>
      </c>
      <c r="K944" s="118"/>
      <c r="L944" s="119"/>
      <c r="M944" s="110">
        <f>IF(L944="",I944,(MIN(J944,(L944*1.6*J944))))</f>
        <v>1299</v>
      </c>
      <c r="N944" s="111">
        <f>IF(M944=0,0,(M944/J944))</f>
        <v>0.88367346938775515</v>
      </c>
    </row>
    <row r="945" spans="2:14">
      <c r="B945" s="73">
        <v>127722</v>
      </c>
      <c r="C945" s="23" t="s">
        <v>268</v>
      </c>
      <c r="D945" s="123">
        <f>SUMIF(B$3:B$3844,B945,M$3:M$3844)/(SUMIF(B$3:B$3844,B945,J$3:J$3844))</f>
        <v>0.76143103246416566</v>
      </c>
      <c r="E945" s="23">
        <v>36976</v>
      </c>
      <c r="F945" s="46" t="s">
        <v>586</v>
      </c>
      <c r="G945" s="23"/>
      <c r="H945" s="23"/>
      <c r="I945" s="41">
        <v>70</v>
      </c>
      <c r="J945" s="41">
        <v>77</v>
      </c>
      <c r="K945" s="118"/>
      <c r="L945" s="119"/>
      <c r="M945" s="110">
        <f>IF(L945="",I945,(MIN(J945,(L945*1.6*J945))))</f>
        <v>70</v>
      </c>
      <c r="N945" s="111">
        <f>IF(M945=0,0,(M945/J945))</f>
        <v>0.90909090909090906</v>
      </c>
    </row>
    <row r="946" spans="2:14">
      <c r="B946" s="72">
        <v>127722</v>
      </c>
      <c r="C946" s="47" t="s">
        <v>268</v>
      </c>
      <c r="D946" s="123">
        <f>SUMIF(B$3:B$3844,B946,M$3:M$3844)/(SUMIF(B$3:B$3844,B946,J$3:J$3844))</f>
        <v>0.76143103246416566</v>
      </c>
      <c r="E946" s="47">
        <v>36437</v>
      </c>
      <c r="F946" s="48" t="s">
        <v>587</v>
      </c>
      <c r="G946" s="47"/>
      <c r="H946" s="47"/>
      <c r="I946" s="40">
        <v>2572</v>
      </c>
      <c r="J946" s="40">
        <v>3119</v>
      </c>
      <c r="K946" s="118"/>
      <c r="L946" s="119"/>
      <c r="M946" s="110">
        <f>IF(L946="",I946,(MIN(J946,(L946*1.6*J946))))</f>
        <v>2572</v>
      </c>
      <c r="N946" s="111">
        <f>IF(M946=0,0,(M946/J946))</f>
        <v>0.82462327669124724</v>
      </c>
    </row>
    <row r="947" spans="2:14">
      <c r="B947" s="73">
        <v>127722</v>
      </c>
      <c r="C947" s="23" t="s">
        <v>268</v>
      </c>
      <c r="D947" s="123">
        <f>SUMIF(B$3:B$3844,B947,M$3:M$3844)/(SUMIF(B$3:B$3844,B947,J$3:J$3844))</f>
        <v>0.76143103246416566</v>
      </c>
      <c r="E947" s="23">
        <v>36837</v>
      </c>
      <c r="F947" s="46" t="s">
        <v>588</v>
      </c>
      <c r="G947" s="23"/>
      <c r="H947" s="23"/>
      <c r="I947" s="41">
        <v>1789</v>
      </c>
      <c r="J947" s="41">
        <v>2219</v>
      </c>
      <c r="K947" s="118"/>
      <c r="L947" s="119"/>
      <c r="M947" s="110">
        <f>IF(L947="",I947,(MIN(J947,(L947*1.6*J947))))</f>
        <v>1789</v>
      </c>
      <c r="N947" s="111">
        <f>IF(M947=0,0,(M947/J947))</f>
        <v>0.80621901757548442</v>
      </c>
    </row>
    <row r="948" spans="2:14">
      <c r="B948" s="72">
        <v>127722</v>
      </c>
      <c r="C948" s="47" t="s">
        <v>268</v>
      </c>
      <c r="D948" s="123">
        <f>SUMIF(B$3:B$3844,B948,M$3:M$3844)/(SUMIF(B$3:B$3844,B948,J$3:J$3844))</f>
        <v>0.76143103246416566</v>
      </c>
      <c r="E948" s="47">
        <v>36878</v>
      </c>
      <c r="F948" s="48" t="s">
        <v>589</v>
      </c>
      <c r="G948" s="47"/>
      <c r="H948" s="47"/>
      <c r="I948" s="40">
        <v>1657</v>
      </c>
      <c r="J948" s="40">
        <v>1995</v>
      </c>
      <c r="K948" s="118"/>
      <c r="L948" s="119"/>
      <c r="M948" s="110">
        <f>IF(L948="",I948,(MIN(J948,(L948*1.6*J948))))</f>
        <v>1657</v>
      </c>
      <c r="N948" s="111">
        <f>IF(M948=0,0,(M948/J948))</f>
        <v>0.83057644110275686</v>
      </c>
    </row>
    <row r="949" spans="2:14">
      <c r="B949" s="73">
        <v>127722</v>
      </c>
      <c r="C949" s="23" t="s">
        <v>268</v>
      </c>
      <c r="D949" s="123">
        <f>SUMIF(B$3:B$3844,B949,M$3:M$3844)/(SUMIF(B$3:B$3844,B949,J$3:J$3844))</f>
        <v>0.76143103246416566</v>
      </c>
      <c r="E949" s="23">
        <v>36919</v>
      </c>
      <c r="F949" s="46" t="s">
        <v>590</v>
      </c>
      <c r="G949" s="23"/>
      <c r="H949" s="23"/>
      <c r="I949" s="41">
        <v>2351</v>
      </c>
      <c r="J949" s="41">
        <v>2970</v>
      </c>
      <c r="K949" s="118"/>
      <c r="L949" s="119"/>
      <c r="M949" s="110">
        <f>IF(L949="",I949,(MIN(J949,(L949*1.6*J949))))</f>
        <v>2351</v>
      </c>
      <c r="N949" s="111">
        <f>IF(M949=0,0,(M949/J949))</f>
        <v>0.79158249158249161</v>
      </c>
    </row>
    <row r="950" spans="2:14">
      <c r="B950" s="72">
        <v>127722</v>
      </c>
      <c r="C950" s="47" t="s">
        <v>268</v>
      </c>
      <c r="D950" s="123">
        <f>SUMIF(B$3:B$3844,B950,M$3:M$3844)/(SUMIF(B$3:B$3844,B950,J$3:J$3844))</f>
        <v>0.76143103246416566</v>
      </c>
      <c r="E950" s="47">
        <v>36351</v>
      </c>
      <c r="F950" s="48" t="s">
        <v>591</v>
      </c>
      <c r="G950" s="47"/>
      <c r="H950" s="47"/>
      <c r="I950" s="40">
        <v>1130</v>
      </c>
      <c r="J950" s="40">
        <v>1658</v>
      </c>
      <c r="K950" s="118"/>
      <c r="L950" s="119"/>
      <c r="M950" s="110">
        <f>IF(L950="",I950,(MIN(J950,(L950*1.6*J950))))</f>
        <v>1130</v>
      </c>
      <c r="N950" s="111">
        <f>IF(M950=0,0,(M950/J950))</f>
        <v>0.68154402895054278</v>
      </c>
    </row>
    <row r="951" spans="2:14">
      <c r="B951" s="73">
        <v>127722</v>
      </c>
      <c r="C951" s="23" t="s">
        <v>268</v>
      </c>
      <c r="D951" s="123">
        <f>SUMIF(B$3:B$3844,B951,M$3:M$3844)/(SUMIF(B$3:B$3844,B951,J$3:J$3844))</f>
        <v>0.76143103246416566</v>
      </c>
      <c r="E951" s="23">
        <v>222168</v>
      </c>
      <c r="F951" s="46" t="s">
        <v>592</v>
      </c>
      <c r="G951" s="23"/>
      <c r="H951" s="23"/>
      <c r="I951" s="41">
        <v>2069</v>
      </c>
      <c r="J951" s="41">
        <v>2882</v>
      </c>
      <c r="K951" s="118"/>
      <c r="L951" s="119"/>
      <c r="M951" s="110">
        <f>IF(L951="",I951,(MIN(J951,(L951*1.6*J951))))</f>
        <v>2069</v>
      </c>
      <c r="N951" s="111">
        <f>IF(M951=0,0,(M951/J951))</f>
        <v>0.71790423317140872</v>
      </c>
    </row>
    <row r="952" spans="2:14">
      <c r="B952" s="72">
        <v>127722</v>
      </c>
      <c r="C952" s="47" t="s">
        <v>268</v>
      </c>
      <c r="D952" s="123">
        <f>SUMIF(B$3:B$3844,B952,M$3:M$3844)/(SUMIF(B$3:B$3844,B952,J$3:J$3844))</f>
        <v>0.76143103246416566</v>
      </c>
      <c r="E952" s="47">
        <v>36692</v>
      </c>
      <c r="F952" s="48" t="s">
        <v>593</v>
      </c>
      <c r="G952" s="47"/>
      <c r="H952" s="47"/>
      <c r="I952" s="40">
        <v>832</v>
      </c>
      <c r="J952" s="40">
        <v>957</v>
      </c>
      <c r="K952" s="118"/>
      <c r="L952" s="119"/>
      <c r="M952" s="110">
        <f>IF(L952="",I952,(MIN(J952,(L952*1.6*J952))))</f>
        <v>832</v>
      </c>
      <c r="N952" s="111">
        <f>IF(M952=0,0,(M952/J952))</f>
        <v>0.86938349007314519</v>
      </c>
    </row>
    <row r="953" spans="2:14">
      <c r="B953" s="73">
        <v>127722</v>
      </c>
      <c r="C953" s="23" t="s">
        <v>268</v>
      </c>
      <c r="D953" s="123">
        <f>SUMIF(B$3:B$3844,B953,M$3:M$3844)/(SUMIF(B$3:B$3844,B953,J$3:J$3844))</f>
        <v>0.76143103246416566</v>
      </c>
      <c r="E953" s="23">
        <v>36753</v>
      </c>
      <c r="F953" s="46" t="s">
        <v>594</v>
      </c>
      <c r="G953" s="23"/>
      <c r="H953" s="23"/>
      <c r="I953" s="41"/>
      <c r="J953" s="41">
        <v>445</v>
      </c>
      <c r="K953" s="118"/>
      <c r="L953" s="119"/>
      <c r="M953" s="110">
        <f>IF(L953="",I953,(MIN(J953,(L953*1.6*J953))))</f>
        <v>0</v>
      </c>
      <c r="N953" s="111">
        <f>IF(M953=0,0,(M953/J953))</f>
        <v>0</v>
      </c>
    </row>
    <row r="954" spans="2:14">
      <c r="B954" s="72">
        <v>127722</v>
      </c>
      <c r="C954" s="47" t="s">
        <v>268</v>
      </c>
      <c r="D954" s="123">
        <f>SUMIF(B$3:B$3844,B954,M$3:M$3844)/(SUMIF(B$3:B$3844,B954,J$3:J$3844))</f>
        <v>0.76143103246416566</v>
      </c>
      <c r="E954" s="47">
        <v>36648</v>
      </c>
      <c r="F954" s="48" t="s">
        <v>595</v>
      </c>
      <c r="G954" s="47"/>
      <c r="H954" s="47"/>
      <c r="I954" s="40">
        <v>161</v>
      </c>
      <c r="J954" s="40">
        <v>504</v>
      </c>
      <c r="K954" s="118"/>
      <c r="L954" s="119"/>
      <c r="M954" s="110">
        <f>IF(L954="",I954,(MIN(J954,(L954*1.6*J954))))</f>
        <v>161</v>
      </c>
      <c r="N954" s="111">
        <f>IF(M954=0,0,(M954/J954))</f>
        <v>0.31944444444444442</v>
      </c>
    </row>
    <row r="955" spans="2:14">
      <c r="B955" s="73">
        <v>127722</v>
      </c>
      <c r="C955" s="23" t="s">
        <v>268</v>
      </c>
      <c r="D955" s="123">
        <f>SUMIF(B$3:B$3844,B955,M$3:M$3844)/(SUMIF(B$3:B$3844,B955,J$3:J$3844))</f>
        <v>0.76143103246416566</v>
      </c>
      <c r="E955" s="23">
        <v>16080443</v>
      </c>
      <c r="F955" s="46" t="s">
        <v>596</v>
      </c>
      <c r="G955" s="23"/>
      <c r="H955" s="23"/>
      <c r="I955" s="41">
        <v>12</v>
      </c>
      <c r="J955" s="41">
        <v>50</v>
      </c>
      <c r="K955" s="118"/>
      <c r="L955" s="119"/>
      <c r="M955" s="110">
        <f>IF(L955="",I955,(MIN(J955,(L955*1.6*J955))))</f>
        <v>12</v>
      </c>
      <c r="N955" s="111">
        <f>IF(M955=0,0,(M955/J955))</f>
        <v>0.24</v>
      </c>
    </row>
    <row r="956" spans="2:14">
      <c r="B956" s="72">
        <v>127722</v>
      </c>
      <c r="C956" s="47" t="s">
        <v>268</v>
      </c>
      <c r="D956" s="123">
        <f>SUMIF(B$3:B$3844,B956,M$3:M$3844)/(SUMIF(B$3:B$3844,B956,J$3:J$3844))</f>
        <v>0.76143103246416566</v>
      </c>
      <c r="E956" s="47">
        <v>213144</v>
      </c>
      <c r="F956" s="48" t="s">
        <v>597</v>
      </c>
      <c r="G956" s="47"/>
      <c r="H956" s="47"/>
      <c r="I956" s="40">
        <v>4</v>
      </c>
      <c r="J956" s="40">
        <v>214</v>
      </c>
      <c r="K956" s="118"/>
      <c r="L956" s="119"/>
      <c r="M956" s="110">
        <f>IF(L956="",I956,(MIN(J956,(L956*1.6*J956))))</f>
        <v>4</v>
      </c>
      <c r="N956" s="111">
        <f>IF(M956=0,0,(M956/J956))</f>
        <v>1.8691588785046728E-2</v>
      </c>
    </row>
    <row r="957" spans="2:14">
      <c r="B957" s="73">
        <v>127722</v>
      </c>
      <c r="C957" s="23" t="s">
        <v>268</v>
      </c>
      <c r="D957" s="123">
        <f>SUMIF(B$3:B$3844,B957,M$3:M$3844)/(SUMIF(B$3:B$3844,B957,J$3:J$3844))</f>
        <v>0.76143103246416566</v>
      </c>
      <c r="E957" s="23">
        <v>213145</v>
      </c>
      <c r="F957" s="46" t="s">
        <v>598</v>
      </c>
      <c r="G957" s="23"/>
      <c r="H957" s="23"/>
      <c r="I957" s="41"/>
      <c r="J957" s="41">
        <v>0</v>
      </c>
      <c r="K957" s="118"/>
      <c r="L957" s="119"/>
      <c r="M957" s="110">
        <f>IF(L957="",I957,(MIN(J957,(L957*1.6*J957))))</f>
        <v>0</v>
      </c>
      <c r="N957" s="111">
        <f>IF(M957=0,0,(M957/J957))</f>
        <v>0</v>
      </c>
    </row>
    <row r="958" spans="2:14">
      <c r="B958" s="72">
        <v>127722</v>
      </c>
      <c r="C958" s="47" t="s">
        <v>268</v>
      </c>
      <c r="D958" s="123">
        <f>SUMIF(B$3:B$3844,B958,M$3:M$3844)/(SUMIF(B$3:B$3844,B958,J$3:J$3844))</f>
        <v>0.76143103246416566</v>
      </c>
      <c r="E958" s="47">
        <v>36670</v>
      </c>
      <c r="F958" s="48" t="s">
        <v>599</v>
      </c>
      <c r="G958" s="47"/>
      <c r="H958" s="47"/>
      <c r="I958" s="40">
        <v>81</v>
      </c>
      <c r="J958" s="40">
        <v>93</v>
      </c>
      <c r="K958" s="118"/>
      <c r="L958" s="119"/>
      <c r="M958" s="110">
        <f>IF(L958="",I958,(MIN(J958,(L958*1.6*J958))))</f>
        <v>81</v>
      </c>
      <c r="N958" s="111">
        <f>IF(M958=0,0,(M958/J958))</f>
        <v>0.87096774193548387</v>
      </c>
    </row>
    <row r="959" spans="2:14">
      <c r="B959" s="73">
        <v>127722</v>
      </c>
      <c r="C959" s="23" t="s">
        <v>268</v>
      </c>
      <c r="D959" s="123">
        <f>SUMIF(B$3:B$3844,B959,M$3:M$3844)/(SUMIF(B$3:B$3844,B959,J$3:J$3844))</f>
        <v>0.76143103246416566</v>
      </c>
      <c r="E959" s="23">
        <v>16049807</v>
      </c>
      <c r="F959" s="46" t="s">
        <v>600</v>
      </c>
      <c r="G959" s="23"/>
      <c r="H959" s="23"/>
      <c r="I959" s="41">
        <v>16</v>
      </c>
      <c r="J959" s="41">
        <v>16</v>
      </c>
      <c r="K959" s="118"/>
      <c r="L959" s="119"/>
      <c r="M959" s="110">
        <f>IF(L959="",I959,(MIN(J959,(L959*1.6*J959))))</f>
        <v>16</v>
      </c>
      <c r="N959" s="111">
        <f>IF(M959=0,0,(M959/J959))</f>
        <v>1</v>
      </c>
    </row>
    <row r="960" spans="2:14">
      <c r="B960" s="72">
        <v>127722</v>
      </c>
      <c r="C960" s="47" t="s">
        <v>268</v>
      </c>
      <c r="D960" s="123">
        <f>SUMIF(B$3:B$3844,B960,M$3:M$3844)/(SUMIF(B$3:B$3844,B960,J$3:J$3844))</f>
        <v>0.76143103246416566</v>
      </c>
      <c r="E960" s="47">
        <v>36496</v>
      </c>
      <c r="F960" s="48" t="s">
        <v>601</v>
      </c>
      <c r="G960" s="47"/>
      <c r="H960" s="47"/>
      <c r="I960" s="40">
        <v>102</v>
      </c>
      <c r="J960" s="40">
        <v>111</v>
      </c>
      <c r="K960" s="118"/>
      <c r="L960" s="119"/>
      <c r="M960" s="110">
        <f>IF(L960="",I960,(MIN(J960,(L960*1.6*J960))))</f>
        <v>102</v>
      </c>
      <c r="N960" s="111">
        <f>IF(M960=0,0,(M960/J960))</f>
        <v>0.91891891891891897</v>
      </c>
    </row>
    <row r="961" spans="2:14">
      <c r="B961" s="73">
        <v>127722</v>
      </c>
      <c r="C961" s="23" t="s">
        <v>268</v>
      </c>
      <c r="D961" s="123">
        <f>SUMIF(B$3:B$3844,B961,M$3:M$3844)/(SUMIF(B$3:B$3844,B961,J$3:J$3844))</f>
        <v>0.76143103246416566</v>
      </c>
      <c r="E961" s="23">
        <v>36789</v>
      </c>
      <c r="F961" s="46" t="s">
        <v>602</v>
      </c>
      <c r="G961" s="23"/>
      <c r="H961" s="23"/>
      <c r="I961" s="41">
        <v>89</v>
      </c>
      <c r="J961" s="41">
        <v>97</v>
      </c>
      <c r="K961" s="118"/>
      <c r="L961" s="119"/>
      <c r="M961" s="110">
        <f>IF(L961="",I961,(MIN(J961,(L961*1.6*J961))))</f>
        <v>89</v>
      </c>
      <c r="N961" s="111">
        <f>IF(M961=0,0,(M961/J961))</f>
        <v>0.91752577319587625</v>
      </c>
    </row>
    <row r="962" spans="2:14">
      <c r="B962" s="72">
        <v>127722</v>
      </c>
      <c r="C962" s="47" t="s">
        <v>268</v>
      </c>
      <c r="D962" s="123">
        <f>SUMIF(B$3:B$3844,B962,M$3:M$3844)/(SUMIF(B$3:B$3844,B962,J$3:J$3844))</f>
        <v>0.76143103246416566</v>
      </c>
      <c r="E962" s="47">
        <v>213151</v>
      </c>
      <c r="F962" s="48" t="s">
        <v>603</v>
      </c>
      <c r="G962" s="47"/>
      <c r="H962" s="47"/>
      <c r="I962" s="40">
        <v>73</v>
      </c>
      <c r="J962" s="40">
        <v>77</v>
      </c>
      <c r="K962" s="118"/>
      <c r="L962" s="119"/>
      <c r="M962" s="110">
        <f>IF(L962="",I962,(MIN(J962,(L962*1.6*J962))))</f>
        <v>73</v>
      </c>
      <c r="N962" s="111">
        <f>IF(M962=0,0,(M962/J962))</f>
        <v>0.94805194805194803</v>
      </c>
    </row>
    <row r="963" spans="2:14">
      <c r="B963" s="73">
        <v>127722</v>
      </c>
      <c r="C963" s="23" t="s">
        <v>268</v>
      </c>
      <c r="D963" s="123">
        <f>SUMIF(B$3:B$3844,B963,M$3:M$3844)/(SUMIF(B$3:B$3844,B963,J$3:J$3844))</f>
        <v>0.76143103246416566</v>
      </c>
      <c r="E963" s="23">
        <v>36509</v>
      </c>
      <c r="F963" s="46" t="s">
        <v>604</v>
      </c>
      <c r="G963" s="23"/>
      <c r="H963" s="23"/>
      <c r="I963" s="41">
        <v>85</v>
      </c>
      <c r="J963" s="41">
        <v>89</v>
      </c>
      <c r="K963" s="118"/>
      <c r="L963" s="119"/>
      <c r="M963" s="110">
        <f>IF(L963="",I963,(MIN(J963,(L963*1.6*J963))))</f>
        <v>85</v>
      </c>
      <c r="N963" s="111">
        <f>IF(M963=0,0,(M963/J963))</f>
        <v>0.9550561797752809</v>
      </c>
    </row>
    <row r="964" spans="2:14">
      <c r="B964" s="72">
        <v>127722</v>
      </c>
      <c r="C964" s="47" t="s">
        <v>268</v>
      </c>
      <c r="D964" s="123">
        <f>SUMIF(B$3:B$3844,B964,M$3:M$3844)/(SUMIF(B$3:B$3844,B964,J$3:J$3844))</f>
        <v>0.76143103246416566</v>
      </c>
      <c r="E964" s="47">
        <v>36972</v>
      </c>
      <c r="F964" s="48" t="s">
        <v>605</v>
      </c>
      <c r="G964" s="47"/>
      <c r="H964" s="47"/>
      <c r="I964" s="40">
        <v>142</v>
      </c>
      <c r="J964" s="40">
        <v>165</v>
      </c>
      <c r="K964" s="118"/>
      <c r="L964" s="119"/>
      <c r="M964" s="110">
        <f>IF(L964="",I964,(MIN(J964,(L964*1.6*J964))))</f>
        <v>142</v>
      </c>
      <c r="N964" s="111">
        <f>IF(M964=0,0,(M964/J964))</f>
        <v>0.8606060606060606</v>
      </c>
    </row>
    <row r="965" spans="2:14">
      <c r="B965" s="73">
        <v>127722</v>
      </c>
      <c r="C965" s="23" t="s">
        <v>268</v>
      </c>
      <c r="D965" s="123">
        <f>SUMIF(B$3:B$3844,B965,M$3:M$3844)/(SUMIF(B$3:B$3844,B965,J$3:J$3844))</f>
        <v>0.76143103246416566</v>
      </c>
      <c r="E965" s="23">
        <v>16039014</v>
      </c>
      <c r="F965" s="46" t="s">
        <v>606</v>
      </c>
      <c r="G965" s="23"/>
      <c r="H965" s="23"/>
      <c r="I965" s="41">
        <v>2</v>
      </c>
      <c r="J965" s="41">
        <v>408</v>
      </c>
      <c r="K965" s="118"/>
      <c r="L965" s="119"/>
      <c r="M965" s="110">
        <f>IF(L965="",I965,(MIN(J965,(L965*1.6*J965))))</f>
        <v>2</v>
      </c>
      <c r="N965" s="111">
        <f>IF(M965=0,0,(M965/J965))</f>
        <v>4.9019607843137254E-3</v>
      </c>
    </row>
    <row r="966" spans="2:14">
      <c r="B966" s="72">
        <v>127722</v>
      </c>
      <c r="C966" s="47" t="s">
        <v>268</v>
      </c>
      <c r="D966" s="123">
        <f>SUMIF(B$3:B$3844,B966,M$3:M$3844)/(SUMIF(B$3:B$3844,B966,J$3:J$3844))</f>
        <v>0.76143103246416566</v>
      </c>
      <c r="E966" s="47">
        <v>213159</v>
      </c>
      <c r="F966" s="48" t="s">
        <v>607</v>
      </c>
      <c r="G966" s="47"/>
      <c r="H966" s="47"/>
      <c r="I966" s="40">
        <v>6</v>
      </c>
      <c r="J966" s="40">
        <v>113</v>
      </c>
      <c r="K966" s="118"/>
      <c r="L966" s="119"/>
      <c r="M966" s="110">
        <f>IF(L966="",I966,(MIN(J966,(L966*1.6*J966))))</f>
        <v>6</v>
      </c>
      <c r="N966" s="111">
        <f>IF(M966=0,0,(M966/J966))</f>
        <v>5.3097345132743362E-2</v>
      </c>
    </row>
    <row r="967" spans="2:14">
      <c r="B967" s="73">
        <v>127722</v>
      </c>
      <c r="C967" s="23" t="s">
        <v>268</v>
      </c>
      <c r="D967" s="123">
        <f>SUMIF(B$3:B$3844,B967,M$3:M$3844)/(SUMIF(B$3:B$3844,B967,J$3:J$3844))</f>
        <v>0.76143103246416566</v>
      </c>
      <c r="E967" s="23">
        <v>16049162</v>
      </c>
      <c r="F967" s="46" t="s">
        <v>608</v>
      </c>
      <c r="G967" s="23"/>
      <c r="H967" s="23"/>
      <c r="I967" s="41">
        <v>1380</v>
      </c>
      <c r="J967" s="41">
        <v>1497</v>
      </c>
      <c r="K967" s="118"/>
      <c r="L967" s="119"/>
      <c r="M967" s="110">
        <f>IF(L967="",I967,(MIN(J967,(L967*1.6*J967))))</f>
        <v>1380</v>
      </c>
      <c r="N967" s="111">
        <f>IF(M967=0,0,(M967/J967))</f>
        <v>0.92184368737474953</v>
      </c>
    </row>
    <row r="968" spans="2:14">
      <c r="B968" s="72">
        <v>127722</v>
      </c>
      <c r="C968" s="47" t="s">
        <v>268</v>
      </c>
      <c r="D968" s="123">
        <f>SUMIF(B$3:B$3844,B968,M$3:M$3844)/(SUMIF(B$3:B$3844,B968,J$3:J$3844))</f>
        <v>0.76143103246416566</v>
      </c>
      <c r="E968" s="47">
        <v>16036313</v>
      </c>
      <c r="F968" s="48" t="s">
        <v>609</v>
      </c>
      <c r="G968" s="47"/>
      <c r="H968" s="47"/>
      <c r="I968" s="40">
        <v>1044</v>
      </c>
      <c r="J968" s="40">
        <v>1110</v>
      </c>
      <c r="K968" s="118"/>
      <c r="L968" s="119"/>
      <c r="M968" s="110">
        <f>IF(L968="",I968,(MIN(J968,(L968*1.6*J968))))</f>
        <v>1044</v>
      </c>
      <c r="N968" s="111">
        <f>IF(M968=0,0,(M968/J968))</f>
        <v>0.94054054054054059</v>
      </c>
    </row>
    <row r="969" spans="2:14">
      <c r="B969" s="73">
        <v>127722</v>
      </c>
      <c r="C969" s="23" t="s">
        <v>268</v>
      </c>
      <c r="D969" s="123">
        <f>SUMIF(B$3:B$3844,B969,M$3:M$3844)/(SUMIF(B$3:B$3844,B969,J$3:J$3844))</f>
        <v>0.76143103246416566</v>
      </c>
      <c r="E969" s="23">
        <v>36671</v>
      </c>
      <c r="F969" s="46" t="s">
        <v>610</v>
      </c>
      <c r="G969" s="23"/>
      <c r="H969" s="23"/>
      <c r="I969" s="41">
        <v>177</v>
      </c>
      <c r="J969" s="41">
        <v>341</v>
      </c>
      <c r="K969" s="118"/>
      <c r="L969" s="119"/>
      <c r="M969" s="110">
        <f>IF(L969="",I969,(MIN(J969,(L969*1.6*J969))))</f>
        <v>177</v>
      </c>
      <c r="N969" s="111">
        <f>IF(M969=0,0,(M969/J969))</f>
        <v>0.51906158357771259</v>
      </c>
    </row>
    <row r="970" spans="2:14">
      <c r="B970" s="72">
        <v>127722</v>
      </c>
      <c r="C970" s="47" t="s">
        <v>268</v>
      </c>
      <c r="D970" s="123">
        <f>SUMIF(B$3:B$3844,B970,M$3:M$3844)/(SUMIF(B$3:B$3844,B970,J$3:J$3844))</f>
        <v>0.76143103246416566</v>
      </c>
      <c r="E970" s="102">
        <v>16055312</v>
      </c>
      <c r="F970" s="48" t="s">
        <v>611</v>
      </c>
      <c r="G970" s="47"/>
      <c r="H970" s="47"/>
      <c r="I970" s="103">
        <v>99</v>
      </c>
      <c r="J970" s="103">
        <v>123</v>
      </c>
      <c r="K970" s="118"/>
      <c r="L970" s="119"/>
      <c r="M970" s="110">
        <f>IF(L970="",I970,(MIN(J970,(L970*1.6*J970))))</f>
        <v>99</v>
      </c>
      <c r="N970" s="111">
        <f>IF(M970=0,0,(M970/J970))</f>
        <v>0.80487804878048785</v>
      </c>
    </row>
    <row r="971" spans="2:14">
      <c r="B971" s="73">
        <v>127722</v>
      </c>
      <c r="C971" s="23" t="s">
        <v>268</v>
      </c>
      <c r="D971" s="123">
        <f>SUMIF(B$3:B$3844,B971,M$3:M$3844)/(SUMIF(B$3:B$3844,B971,J$3:J$3844))</f>
        <v>0.76143103246416566</v>
      </c>
      <c r="E971" s="104">
        <v>16055313</v>
      </c>
      <c r="F971" s="46" t="s">
        <v>612</v>
      </c>
      <c r="G971" s="23"/>
      <c r="H971" s="23"/>
      <c r="I971" s="105">
        <v>97</v>
      </c>
      <c r="J971" s="105">
        <v>127</v>
      </c>
      <c r="K971" s="118"/>
      <c r="L971" s="119"/>
      <c r="M971" s="110">
        <f>IF(L971="",I971,(MIN(J971,(L971*1.6*J971))))</f>
        <v>97</v>
      </c>
      <c r="N971" s="111">
        <f>IF(M971=0,0,(M971/J971))</f>
        <v>0.76377952755905509</v>
      </c>
    </row>
    <row r="972" spans="2:14">
      <c r="B972" s="72">
        <v>127722</v>
      </c>
      <c r="C972" s="47" t="s">
        <v>268</v>
      </c>
      <c r="D972" s="123">
        <f>SUMIF(B$3:B$3844,B972,M$3:M$3844)/(SUMIF(B$3:B$3844,B972,J$3:J$3844))</f>
        <v>0.76143103246416566</v>
      </c>
      <c r="E972" s="102">
        <v>160553144</v>
      </c>
      <c r="F972" s="48" t="s">
        <v>613</v>
      </c>
      <c r="G972" s="47"/>
      <c r="H972" s="47"/>
      <c r="I972" s="103">
        <v>96</v>
      </c>
      <c r="J972" s="103">
        <v>172</v>
      </c>
      <c r="K972" s="118"/>
      <c r="L972" s="119"/>
      <c r="M972" s="110">
        <f>IF(L972="",I972,(MIN(J972,(L972*1.6*J972))))</f>
        <v>96</v>
      </c>
      <c r="N972" s="111">
        <f>IF(M972=0,0,(M972/J972))</f>
        <v>0.55813953488372092</v>
      </c>
    </row>
    <row r="973" spans="2:14">
      <c r="B973" s="73">
        <v>127722</v>
      </c>
      <c r="C973" s="23" t="s">
        <v>268</v>
      </c>
      <c r="D973" s="123">
        <f>SUMIF(B$3:B$3844,B973,M$3:M$3844)/(SUMIF(B$3:B$3844,B973,J$3:J$3844))</f>
        <v>0.76143103246416566</v>
      </c>
      <c r="E973" s="104">
        <v>16055315</v>
      </c>
      <c r="F973" s="46" t="s">
        <v>614</v>
      </c>
      <c r="G973" s="23"/>
      <c r="H973" s="23"/>
      <c r="I973" s="105">
        <v>104</v>
      </c>
      <c r="J973" s="105">
        <v>152</v>
      </c>
      <c r="K973" s="118"/>
      <c r="L973" s="119"/>
      <c r="M973" s="110">
        <f>IF(L973="",I973,(MIN(J973,(L973*1.6*J973))))</f>
        <v>104</v>
      </c>
      <c r="N973" s="111">
        <f>IF(M973=0,0,(M973/J973))</f>
        <v>0.68421052631578949</v>
      </c>
    </row>
    <row r="974" spans="2:14" ht="30">
      <c r="B974" s="72">
        <v>127722</v>
      </c>
      <c r="C974" s="47" t="s">
        <v>268</v>
      </c>
      <c r="D974" s="123">
        <f>SUMIF(B$3:B$3844,B974,M$3:M$3844)/(SUMIF(B$3:B$3844,B974,J$3:J$3844))</f>
        <v>0.76143103246416566</v>
      </c>
      <c r="E974" s="102">
        <v>16055316</v>
      </c>
      <c r="F974" s="48" t="s">
        <v>615</v>
      </c>
      <c r="G974" s="47"/>
      <c r="H974" s="47"/>
      <c r="I974" s="103">
        <v>120</v>
      </c>
      <c r="J974" s="103">
        <v>133</v>
      </c>
      <c r="K974" s="118"/>
      <c r="L974" s="119"/>
      <c r="M974" s="110">
        <f>IF(L974="",I974,(MIN(J974,(L974*1.6*J974))))</f>
        <v>120</v>
      </c>
      <c r="N974" s="111">
        <f>IF(M974=0,0,(M974/J974))</f>
        <v>0.90225563909774431</v>
      </c>
    </row>
    <row r="975" spans="2:14">
      <c r="B975" s="73">
        <v>127722</v>
      </c>
      <c r="C975" s="23" t="s">
        <v>268</v>
      </c>
      <c r="D975" s="123">
        <f>SUMIF(B$3:B$3844,B975,M$3:M$3844)/(SUMIF(B$3:B$3844,B975,J$3:J$3844))</f>
        <v>0.76143103246416566</v>
      </c>
      <c r="E975" s="104">
        <v>16055320</v>
      </c>
      <c r="F975" s="46" t="s">
        <v>616</v>
      </c>
      <c r="G975" s="23"/>
      <c r="H975" s="23"/>
      <c r="I975" s="105">
        <v>126</v>
      </c>
      <c r="J975" s="105">
        <v>149</v>
      </c>
      <c r="K975" s="118"/>
      <c r="L975" s="119"/>
      <c r="M975" s="110">
        <f>IF(L975="",I975,(MIN(J975,(L975*1.6*J975))))</f>
        <v>126</v>
      </c>
      <c r="N975" s="111">
        <f>IF(M975=0,0,(M975/J975))</f>
        <v>0.84563758389261745</v>
      </c>
    </row>
    <row r="976" spans="2:14" ht="30">
      <c r="B976" s="72">
        <v>127722</v>
      </c>
      <c r="C976" s="47" t="s">
        <v>268</v>
      </c>
      <c r="D976" s="123">
        <f>SUMIF(B$3:B$3844,B976,M$3:M$3844)/(SUMIF(B$3:B$3844,B976,J$3:J$3844))</f>
        <v>0.76143103246416566</v>
      </c>
      <c r="E976" s="102">
        <v>16055324</v>
      </c>
      <c r="F976" s="48" t="s">
        <v>617</v>
      </c>
      <c r="G976" s="47"/>
      <c r="H976" s="47"/>
      <c r="I976" s="103">
        <v>126</v>
      </c>
      <c r="J976" s="103">
        <v>173</v>
      </c>
      <c r="K976" s="118"/>
      <c r="L976" s="119"/>
      <c r="M976" s="110">
        <f>IF(L976="",I976,(MIN(J976,(L976*1.6*J976))))</f>
        <v>126</v>
      </c>
      <c r="N976" s="111">
        <f>IF(M976=0,0,(M976/J976))</f>
        <v>0.72832369942196529</v>
      </c>
    </row>
    <row r="977" spans="2:14" ht="30">
      <c r="B977" s="73">
        <v>127722</v>
      </c>
      <c r="C977" s="23" t="s">
        <v>268</v>
      </c>
      <c r="D977" s="123">
        <f>SUMIF(B$3:B$3844,B977,M$3:M$3844)/(SUMIF(B$3:B$3844,B977,J$3:J$3844))</f>
        <v>0.76143103246416566</v>
      </c>
      <c r="E977" s="104">
        <v>16039004</v>
      </c>
      <c r="F977" s="46" t="s">
        <v>618</v>
      </c>
      <c r="G977" s="23"/>
      <c r="H977" s="23"/>
      <c r="I977" s="105">
        <v>127</v>
      </c>
      <c r="J977" s="105">
        <v>174</v>
      </c>
      <c r="K977" s="118"/>
      <c r="L977" s="119"/>
      <c r="M977" s="110">
        <f>IF(L977="",I977,(MIN(J977,(L977*1.6*J977))))</f>
        <v>127</v>
      </c>
      <c r="N977" s="111">
        <f>IF(M977=0,0,(M977/J977))</f>
        <v>0.72988505747126442</v>
      </c>
    </row>
    <row r="978" spans="2:14">
      <c r="B978" s="73">
        <v>1200420</v>
      </c>
      <c r="C978" s="23" t="str">
        <f>"DESOTO"</f>
        <v>DESOTO</v>
      </c>
      <c r="D978" s="123">
        <f>SUMIF(B$3:B$3844,B978,M$3:M$3844)/(SUMIF(B$3:B$3844,B978,J$3:J$3844))</f>
        <v>0.97690881188118817</v>
      </c>
      <c r="E978" s="23">
        <v>16062597</v>
      </c>
      <c r="F978" s="46" t="str">
        <f>"DESOTO ALTERNATIVE PROGRAM"</f>
        <v>DESOTO ALTERNATIVE PROGRAM</v>
      </c>
      <c r="G978" s="23"/>
      <c r="H978" s="23"/>
      <c r="I978" s="41"/>
      <c r="J978" s="41">
        <v>44</v>
      </c>
      <c r="K978" s="106">
        <v>2014</v>
      </c>
      <c r="L978" s="107">
        <v>0.86670000000000003</v>
      </c>
      <c r="M978" s="110">
        <f>IF(L978="",I978,(MIN(J978,(L978*1.6*J978))))</f>
        <v>44</v>
      </c>
      <c r="N978" s="111">
        <f>IF(M978=0,0,(M978/J978))</f>
        <v>1</v>
      </c>
    </row>
    <row r="979" spans="2:14">
      <c r="B979" s="72">
        <v>1200420</v>
      </c>
      <c r="C979" s="47" t="str">
        <f>"DESOTO"</f>
        <v>DESOTO</v>
      </c>
      <c r="D979" s="123">
        <f>SUMIF(B$3:B$3844,B979,M$3:M$3844)/(SUMIF(B$3:B$3844,B979,J$3:J$3844))</f>
        <v>0.97690881188118817</v>
      </c>
      <c r="E979" s="47">
        <v>38504</v>
      </c>
      <c r="F979" s="48" t="str">
        <f>"DESOTO COUNTY HIGH SCHOOL"</f>
        <v>DESOTO COUNTY HIGH SCHOOL</v>
      </c>
      <c r="G979" s="47"/>
      <c r="H979" s="47"/>
      <c r="I979" s="40"/>
      <c r="J979" s="40">
        <v>1233</v>
      </c>
      <c r="K979" s="106">
        <v>2014</v>
      </c>
      <c r="L979" s="125">
        <v>0.57889999999999997</v>
      </c>
      <c r="M979" s="110">
        <f>IF(L979="",I979,(MIN(J979,(L979*1.6*J979))))</f>
        <v>1142.0539199999998</v>
      </c>
      <c r="N979" s="111">
        <f>IF(M979=0,0,(M979/J979))</f>
        <v>0.92623999999999984</v>
      </c>
    </row>
    <row r="980" spans="2:14">
      <c r="B980" s="73">
        <v>1200420</v>
      </c>
      <c r="C980" s="23" t="str">
        <f>"DESOTO"</f>
        <v>DESOTO</v>
      </c>
      <c r="D980" s="123">
        <f>SUMIF(B$3:B$3844,B980,M$3:M$3844)/(SUMIF(B$3:B$3844,B980,J$3:J$3844))</f>
        <v>0.97690881188118817</v>
      </c>
      <c r="E980" s="23">
        <v>16033341</v>
      </c>
      <c r="F980" s="46" t="str">
        <f>"DESOTO DISTRICT OFFICE"</f>
        <v>DESOTO DISTRICT OFFICE</v>
      </c>
      <c r="G980" s="23"/>
      <c r="H980" s="23"/>
      <c r="I980" s="41"/>
      <c r="J980" s="41" t="str">
        <f>"0"</f>
        <v>0</v>
      </c>
      <c r="K980" s="106"/>
      <c r="L980" s="107"/>
      <c r="M980" s="110">
        <f>IF(L980="",I980,(MIN(J980,(L980*1.6*J980))))</f>
        <v>0</v>
      </c>
      <c r="N980" s="111">
        <f>IF(M980=0,0,(M980/J980))</f>
        <v>0</v>
      </c>
    </row>
    <row r="981" spans="2:14">
      <c r="B981" s="72">
        <v>1200420</v>
      </c>
      <c r="C981" s="47" t="str">
        <f>"DESOTO"</f>
        <v>DESOTO</v>
      </c>
      <c r="D981" s="123">
        <f>SUMIF(B$3:B$3844,B981,M$3:M$3844)/(SUMIF(B$3:B$3844,B981,J$3:J$3844))</f>
        <v>0.97690881188118817</v>
      </c>
      <c r="E981" s="47">
        <v>38503</v>
      </c>
      <c r="F981" s="48" t="str">
        <f>"DESOTO MIDDLE SCHOOL"</f>
        <v>DESOTO MIDDLE SCHOOL</v>
      </c>
      <c r="G981" s="47"/>
      <c r="H981" s="47"/>
      <c r="I981" s="40"/>
      <c r="J981" s="40">
        <v>1064</v>
      </c>
      <c r="K981" s="106">
        <v>2014</v>
      </c>
      <c r="L981" s="107">
        <v>0.64370000000000005</v>
      </c>
      <c r="M981" s="110">
        <f>IF(L981="",I981,(MIN(J981,(L981*1.6*J981))))</f>
        <v>1064</v>
      </c>
      <c r="N981" s="111">
        <f>IF(M981=0,0,(M981/J981))</f>
        <v>1</v>
      </c>
    </row>
    <row r="982" spans="2:14">
      <c r="B982" s="73">
        <v>1200420</v>
      </c>
      <c r="C982" s="23" t="str">
        <f>"DESOTO"</f>
        <v>DESOTO</v>
      </c>
      <c r="D982" s="123">
        <f>SUMIF(B$3:B$3844,B982,M$3:M$3844)/(SUMIF(B$3:B$3844,B982,J$3:J$3844))</f>
        <v>0.97690881188118817</v>
      </c>
      <c r="E982" s="23">
        <v>38497</v>
      </c>
      <c r="F982" s="46" t="str">
        <f>"EARLY EDUCATION CENTER"</f>
        <v>EARLY EDUCATION CENTER</v>
      </c>
      <c r="G982" s="23"/>
      <c r="H982" s="23"/>
      <c r="I982" s="41"/>
      <c r="J982" s="41">
        <v>57</v>
      </c>
      <c r="K982" s="106">
        <v>2014</v>
      </c>
      <c r="L982" s="107">
        <v>0.64710000000000001</v>
      </c>
      <c r="M982" s="110">
        <f>IF(L982="",I982,(MIN(J982,(L982*1.6*J982))))</f>
        <v>57</v>
      </c>
      <c r="N982" s="111">
        <f>IF(M982=0,0,(M982/J982))</f>
        <v>1</v>
      </c>
    </row>
    <row r="983" spans="2:14">
      <c r="B983" s="72">
        <v>1200420</v>
      </c>
      <c r="C983" s="47" t="str">
        <f>"DESOTO"</f>
        <v>DESOTO</v>
      </c>
      <c r="D983" s="123">
        <f>SUMIF(B$3:B$3844,B983,M$3:M$3844)/(SUMIF(B$3:B$3844,B983,J$3:J$3844))</f>
        <v>0.97690881188118817</v>
      </c>
      <c r="E983" s="47">
        <v>38499</v>
      </c>
      <c r="F983" s="48" t="str">
        <f>"FAMILY SERVICE CENTER"</f>
        <v>FAMILY SERVICE CENTER</v>
      </c>
      <c r="G983" s="47"/>
      <c r="H983" s="47"/>
      <c r="I983" s="40"/>
      <c r="J983" s="40" t="str">
        <f>"0"</f>
        <v>0</v>
      </c>
      <c r="K983" s="106"/>
      <c r="L983" s="107"/>
      <c r="M983" s="110">
        <f>IF(L983="",I983,(MIN(J983,(L983*1.6*J983))))</f>
        <v>0</v>
      </c>
      <c r="N983" s="111">
        <f>IF(M983=0,0,(M983/J983))</f>
        <v>0</v>
      </c>
    </row>
    <row r="984" spans="2:14">
      <c r="B984" s="73">
        <v>1200420</v>
      </c>
      <c r="C984" s="23" t="str">
        <f>"DESOTO"</f>
        <v>DESOTO</v>
      </c>
      <c r="D984" s="123">
        <f>SUMIF(B$3:B$3844,B984,M$3:M$3844)/(SUMIF(B$3:B$3844,B984,J$3:J$3844))</f>
        <v>0.97690881188118817</v>
      </c>
      <c r="E984" s="23">
        <v>38500</v>
      </c>
      <c r="F984" s="46" t="str">
        <f>"MEMORIAL ELEMENTARY SCHOOL"</f>
        <v>MEMORIAL ELEMENTARY SCHOOL</v>
      </c>
      <c r="G984" s="23"/>
      <c r="H984" s="23"/>
      <c r="I984" s="41"/>
      <c r="J984" s="41">
        <v>1021</v>
      </c>
      <c r="K984" s="106">
        <v>2014</v>
      </c>
      <c r="L984" s="107">
        <v>0.75219999999999998</v>
      </c>
      <c r="M984" s="110">
        <f>IF(L984="",I984,(MIN(J984,(L984*1.6*J984))))</f>
        <v>1021</v>
      </c>
      <c r="N984" s="111">
        <f>IF(M984=0,0,(M984/J984))</f>
        <v>1</v>
      </c>
    </row>
    <row r="985" spans="2:14">
      <c r="B985" s="72">
        <v>1200420</v>
      </c>
      <c r="C985" s="47" t="str">
        <f>"DESOTO"</f>
        <v>DESOTO</v>
      </c>
      <c r="D985" s="123">
        <f>SUMIF(B$3:B$3844,B985,M$3:M$3844)/(SUMIF(B$3:B$3844,B985,J$3:J$3844))</f>
        <v>0.97690881188118817</v>
      </c>
      <c r="E985" s="47">
        <v>38505</v>
      </c>
      <c r="F985" s="48" t="str">
        <f>"NOCATEE ELEMENTARY SCHOOL"</f>
        <v>NOCATEE ELEMENTARY SCHOOL</v>
      </c>
      <c r="G985" s="47"/>
      <c r="H985" s="47"/>
      <c r="I985" s="40"/>
      <c r="J985" s="40">
        <v>573</v>
      </c>
      <c r="K985" s="106">
        <v>2014</v>
      </c>
      <c r="L985" s="107">
        <v>0.82069999999999999</v>
      </c>
      <c r="M985" s="110">
        <f>IF(L985="",I985,(MIN(J985,(L985*1.6*J985))))</f>
        <v>573</v>
      </c>
      <c r="N985" s="111">
        <f>IF(M985=0,0,(M985/J985))</f>
        <v>1</v>
      </c>
    </row>
    <row r="986" spans="2:14">
      <c r="B986" s="73">
        <v>1200420</v>
      </c>
      <c r="C986" s="23" t="str">
        <f>"DESOTO"</f>
        <v>DESOTO</v>
      </c>
      <c r="D986" s="123">
        <f>SUMIF(B$3:B$3844,B986,M$3:M$3844)/(SUMIF(B$3:B$3844,B986,J$3:J$3844))</f>
        <v>0.97690881188118817</v>
      </c>
      <c r="E986" s="23">
        <v>16026847</v>
      </c>
      <c r="F986" s="46" t="str">
        <f>"SPRING LAKE YOUTH ACADEMY"</f>
        <v>SPRING LAKE YOUTH ACADEMY</v>
      </c>
      <c r="G986" s="23"/>
      <c r="H986" s="23"/>
      <c r="I986" s="41"/>
      <c r="J986" s="41">
        <v>21</v>
      </c>
      <c r="K986" s="106"/>
      <c r="L986" s="107"/>
      <c r="M986" s="110">
        <f>IF(L986="",I986,(MIN(J986,(L986*1.6*J986))))</f>
        <v>0</v>
      </c>
      <c r="N986" s="111">
        <f>IF(M986=0,0,(M986/J986))</f>
        <v>0</v>
      </c>
    </row>
    <row r="987" spans="2:14" ht="30">
      <c r="B987" s="72">
        <v>1200420</v>
      </c>
      <c r="C987" s="47" t="str">
        <f>"DESOTO"</f>
        <v>DESOTO</v>
      </c>
      <c r="D987" s="123">
        <f>SUMIF(B$3:B$3844,B987,M$3:M$3844)/(SUMIF(B$3:B$3844,B987,J$3:J$3844))</f>
        <v>0.97690881188118817</v>
      </c>
      <c r="E987" s="47">
        <v>16066751</v>
      </c>
      <c r="F987" s="48" t="s">
        <v>619</v>
      </c>
      <c r="G987" s="47"/>
      <c r="H987" s="47"/>
      <c r="I987" s="40"/>
      <c r="J987" s="40" t="str">
        <f>"0"</f>
        <v>0</v>
      </c>
      <c r="K987" s="106"/>
      <c r="L987" s="107"/>
      <c r="M987" s="110">
        <f>IF(L987="",I987,(MIN(J987,(L987*1.6*J987))))</f>
        <v>0</v>
      </c>
      <c r="N987" s="111">
        <f>IF(M987=0,0,(M987/J987))</f>
        <v>0</v>
      </c>
    </row>
    <row r="988" spans="2:14">
      <c r="B988" s="73">
        <v>1200420</v>
      </c>
      <c r="C988" s="23" t="str">
        <f>"DESOTO"</f>
        <v>DESOTO</v>
      </c>
      <c r="D988" s="123">
        <f>SUMIF(B$3:B$3844,B988,M$3:M$3844)/(SUMIF(B$3:B$3844,B988,J$3:J$3844))</f>
        <v>0.97690881188118817</v>
      </c>
      <c r="E988" s="23">
        <v>38498</v>
      </c>
      <c r="F988" s="46" t="str">
        <f>"WEST ELEMENTARY SCHOOL"</f>
        <v>WEST ELEMENTARY SCHOOL</v>
      </c>
      <c r="G988" s="23"/>
      <c r="H988" s="23"/>
      <c r="I988" s="41"/>
      <c r="J988" s="41">
        <v>835</v>
      </c>
      <c r="K988" s="106">
        <v>2014</v>
      </c>
      <c r="L988" s="107">
        <v>0.64390000000000003</v>
      </c>
      <c r="M988" s="110">
        <f>IF(L988="",I988,(MIN(J988,(L988*1.6*J988))))</f>
        <v>835</v>
      </c>
      <c r="N988" s="111">
        <f>IF(M988=0,0,(M988/J988))</f>
        <v>1</v>
      </c>
    </row>
    <row r="989" spans="2:14">
      <c r="B989" s="73">
        <v>127661</v>
      </c>
      <c r="C989" s="23" t="s">
        <v>1960</v>
      </c>
      <c r="D989" s="123">
        <f>SUMIF(B$3:B$3844,B989,M$3:M$3844)/(SUMIF(B$3:B$3844,B989,J$3:J$3844))</f>
        <v>1</v>
      </c>
      <c r="E989" s="23">
        <v>35733</v>
      </c>
      <c r="F989" s="46" t="s">
        <v>1956</v>
      </c>
      <c r="G989" s="23"/>
      <c r="H989" s="23"/>
      <c r="I989" s="45">
        <v>533</v>
      </c>
      <c r="J989" s="41">
        <v>533</v>
      </c>
      <c r="K989" s="118"/>
      <c r="L989" s="119"/>
      <c r="M989" s="110">
        <f>IF(L989="",I989,(MIN(J989,(L989*1.6*J989))))</f>
        <v>533</v>
      </c>
      <c r="N989" s="111">
        <f>IF(M989=0,0,(M989/J989))</f>
        <v>1</v>
      </c>
    </row>
    <row r="990" spans="2:14">
      <c r="B990" s="72">
        <v>127661</v>
      </c>
      <c r="C990" s="47" t="s">
        <v>1960</v>
      </c>
      <c r="D990" s="123">
        <f>SUMIF(B$3:B$3844,B990,M$3:M$3844)/(SUMIF(B$3:B$3844,B990,J$3:J$3844))</f>
        <v>1</v>
      </c>
      <c r="E990" s="47">
        <v>35736</v>
      </c>
      <c r="F990" s="48" t="s">
        <v>1957</v>
      </c>
      <c r="G990" s="47"/>
      <c r="H990" s="47"/>
      <c r="I990" s="40">
        <v>497</v>
      </c>
      <c r="J990" s="40">
        <v>497</v>
      </c>
      <c r="K990" s="118"/>
      <c r="L990" s="119"/>
      <c r="M990" s="110">
        <f>IF(L990="",I990,(MIN(J990,(L990*1.6*J990))))</f>
        <v>497</v>
      </c>
      <c r="N990" s="111">
        <f>IF(M990=0,0,(M990/J990))</f>
        <v>1</v>
      </c>
    </row>
    <row r="991" spans="2:14">
      <c r="B991" s="73">
        <v>127661</v>
      </c>
      <c r="C991" s="23" t="s">
        <v>1960</v>
      </c>
      <c r="D991" s="123">
        <f>SUMIF(B$3:B$3844,B991,M$3:M$3844)/(SUMIF(B$3:B$3844,B991,J$3:J$3844))</f>
        <v>1</v>
      </c>
      <c r="E991" s="23">
        <v>35768</v>
      </c>
      <c r="F991" s="46" t="s">
        <v>1958</v>
      </c>
      <c r="G991" s="23"/>
      <c r="H991" s="23"/>
      <c r="I991" s="41">
        <v>558</v>
      </c>
      <c r="J991" s="41">
        <v>558</v>
      </c>
      <c r="K991" s="118"/>
      <c r="L991" s="119"/>
      <c r="M991" s="110">
        <f>IF(L991="",I991,(MIN(J991,(L991*1.6*J991))))</f>
        <v>558</v>
      </c>
      <c r="N991" s="111">
        <f>IF(M991=0,0,(M991/J991))</f>
        <v>1</v>
      </c>
    </row>
    <row r="992" spans="2:14">
      <c r="B992" s="72">
        <v>127661</v>
      </c>
      <c r="C992" s="47" t="s">
        <v>1960</v>
      </c>
      <c r="D992" s="123">
        <f>SUMIF(B$3:B$3844,B992,M$3:M$3844)/(SUMIF(B$3:B$3844,B992,J$3:J$3844))</f>
        <v>1</v>
      </c>
      <c r="E992" s="47">
        <v>35735</v>
      </c>
      <c r="F992" s="48" t="s">
        <v>1959</v>
      </c>
      <c r="G992" s="47"/>
      <c r="H992" s="47"/>
      <c r="I992" s="40">
        <v>444</v>
      </c>
      <c r="J992" s="40">
        <v>444</v>
      </c>
      <c r="K992" s="118"/>
      <c r="L992" s="119"/>
      <c r="M992" s="110">
        <f>IF(L992="",I992,(MIN(J992,(L992*1.6*J992))))</f>
        <v>444</v>
      </c>
      <c r="N992" s="111">
        <f>IF(M992=0,0,(M992/J992))</f>
        <v>1</v>
      </c>
    </row>
    <row r="993" spans="2:14">
      <c r="B993" s="73">
        <v>127591</v>
      </c>
      <c r="C993" s="23" t="s">
        <v>620</v>
      </c>
      <c r="D993" s="123">
        <f>SUMIF(B$3:B$3844,B993,M$3:M$3844)/(SUMIF(B$3:B$3844,B993,J$3:J$3844))</f>
        <v>0.72335604859089875</v>
      </c>
      <c r="E993" s="23">
        <v>35060</v>
      </c>
      <c r="F993" s="46" t="s">
        <v>622</v>
      </c>
      <c r="G993" s="117"/>
      <c r="H993" s="117"/>
      <c r="I993" s="41"/>
      <c r="J993" s="41">
        <v>414</v>
      </c>
      <c r="K993" s="20">
        <v>2015</v>
      </c>
      <c r="L993" s="20">
        <v>59.14</v>
      </c>
      <c r="M993" s="110">
        <f>IF(L993="",I993,(MIN(J993,(L993*1.6*J993))))</f>
        <v>414</v>
      </c>
      <c r="N993" s="111">
        <f>IF(M993=0,0,(M993/J993))</f>
        <v>1</v>
      </c>
    </row>
    <row r="994" spans="2:14">
      <c r="B994" s="72">
        <v>127591</v>
      </c>
      <c r="C994" s="47" t="s">
        <v>620</v>
      </c>
      <c r="D994" s="123">
        <f>SUMIF(B$3:B$3844,B994,M$3:M$3844)/(SUMIF(B$3:B$3844,B994,J$3:J$3844))</f>
        <v>0.72335604859089875</v>
      </c>
      <c r="E994" s="47">
        <v>205868</v>
      </c>
      <c r="F994" s="48" t="s">
        <v>623</v>
      </c>
      <c r="G994" s="117"/>
      <c r="H994" s="117"/>
      <c r="I994" s="40">
        <v>377</v>
      </c>
      <c r="J994" s="40">
        <v>751</v>
      </c>
      <c r="K994" s="20"/>
      <c r="L994" s="20"/>
      <c r="M994" s="110">
        <f>IF(L994="",I994,(MIN(J994,(L994*1.6*J994))))</f>
        <v>377</v>
      </c>
      <c r="N994" s="111">
        <f>IF(M994=0,0,(M994/J994))</f>
        <v>0.50199733688415449</v>
      </c>
    </row>
    <row r="995" spans="2:14">
      <c r="B995" s="73">
        <v>127591</v>
      </c>
      <c r="C995" s="23" t="s">
        <v>620</v>
      </c>
      <c r="D995" s="123">
        <f>SUMIF(B$3:B$3844,B995,M$3:M$3844)/(SUMIF(B$3:B$3844,B995,J$3:J$3844))</f>
        <v>0.72335604859089875</v>
      </c>
      <c r="E995" s="23">
        <v>35184</v>
      </c>
      <c r="F995" s="46" t="s">
        <v>624</v>
      </c>
      <c r="G995" s="117"/>
      <c r="H995" s="117"/>
      <c r="I995" s="41">
        <v>101</v>
      </c>
      <c r="J995" s="41">
        <v>184</v>
      </c>
      <c r="K995" s="20"/>
      <c r="L995" s="20"/>
      <c r="M995" s="110">
        <f>IF(L995="",I995,(MIN(J995,(L995*1.6*J995))))</f>
        <v>101</v>
      </c>
      <c r="N995" s="111">
        <f>IF(M995=0,0,(M995/J995))</f>
        <v>0.54891304347826086</v>
      </c>
    </row>
    <row r="996" spans="2:14">
      <c r="B996" s="72">
        <v>127591</v>
      </c>
      <c r="C996" s="47" t="s">
        <v>620</v>
      </c>
      <c r="D996" s="123">
        <f>SUMIF(B$3:B$3844,B996,M$3:M$3844)/(SUMIF(B$3:B$3844,B996,J$3:J$3844))</f>
        <v>0.72335604859089875</v>
      </c>
      <c r="E996" s="47">
        <v>35126</v>
      </c>
      <c r="F996" s="48" t="s">
        <v>625</v>
      </c>
      <c r="G996" s="117"/>
      <c r="H996" s="117"/>
      <c r="I996" s="40"/>
      <c r="J996" s="40">
        <v>694</v>
      </c>
      <c r="K996" s="20">
        <v>2015</v>
      </c>
      <c r="L996" s="20">
        <v>59.14</v>
      </c>
      <c r="M996" s="110">
        <f>IF(L996="",I996,(MIN(J996,(L996*1.6*J996))))</f>
        <v>694</v>
      </c>
      <c r="N996" s="111">
        <f>IF(M996=0,0,(M996/J996))</f>
        <v>1</v>
      </c>
    </row>
    <row r="997" spans="2:14">
      <c r="B997" s="73">
        <v>127591</v>
      </c>
      <c r="C997" s="23" t="s">
        <v>620</v>
      </c>
      <c r="D997" s="123">
        <f>SUMIF(B$3:B$3844,B997,M$3:M$3844)/(SUMIF(B$3:B$3844,B997,J$3:J$3844))</f>
        <v>0.72335604859089875</v>
      </c>
      <c r="E997" s="23">
        <v>35155</v>
      </c>
      <c r="F997" s="46" t="s">
        <v>626</v>
      </c>
      <c r="G997" s="117"/>
      <c r="H997" s="117"/>
      <c r="I997" s="41">
        <v>280</v>
      </c>
      <c r="J997" s="41">
        <v>891</v>
      </c>
      <c r="K997" s="20"/>
      <c r="L997" s="20"/>
      <c r="M997" s="110">
        <f>IF(L997="",I997,(MIN(J997,(L997*1.6*J997))))</f>
        <v>280</v>
      </c>
      <c r="N997" s="111">
        <f>IF(M997=0,0,(M997/J997))</f>
        <v>0.31425364758698093</v>
      </c>
    </row>
    <row r="998" spans="2:14">
      <c r="B998" s="72">
        <v>127591</v>
      </c>
      <c r="C998" s="47" t="s">
        <v>620</v>
      </c>
      <c r="D998" s="123">
        <f>SUMIF(B$3:B$3844,B998,M$3:M$3844)/(SUMIF(B$3:B$3844,B998,J$3:J$3844))</f>
        <v>0.72335604859089875</v>
      </c>
      <c r="E998" s="47">
        <v>35010</v>
      </c>
      <c r="F998" s="48" t="s">
        <v>627</v>
      </c>
      <c r="G998" s="117"/>
      <c r="H998" s="117"/>
      <c r="I998" s="40"/>
      <c r="J998" s="40">
        <v>641</v>
      </c>
      <c r="K998" s="20">
        <v>2015</v>
      </c>
      <c r="L998" s="20">
        <v>59.14</v>
      </c>
      <c r="M998" s="110">
        <f>IF(L998="",I998,(MIN(J998,(L998*1.6*J998))))</f>
        <v>641</v>
      </c>
      <c r="N998" s="111">
        <f>IF(M998=0,0,(M998/J998))</f>
        <v>1</v>
      </c>
    </row>
    <row r="999" spans="2:14">
      <c r="B999" s="73">
        <v>127591</v>
      </c>
      <c r="C999" s="23" t="s">
        <v>620</v>
      </c>
      <c r="D999" s="123">
        <f>SUMIF(B$3:B$3844,B999,M$3:M$3844)/(SUMIF(B$3:B$3844,B999,J$3:J$3844))</f>
        <v>0.72335604859089875</v>
      </c>
      <c r="E999" s="23">
        <v>35006</v>
      </c>
      <c r="F999" s="46" t="s">
        <v>628</v>
      </c>
      <c r="G999" s="117"/>
      <c r="H999" s="117"/>
      <c r="I999" s="41"/>
      <c r="J999" s="41">
        <v>715</v>
      </c>
      <c r="K999" s="20">
        <v>2015</v>
      </c>
      <c r="L999" s="20">
        <v>59.14</v>
      </c>
      <c r="M999" s="110">
        <f>IF(L999="",I999,(MIN(J999,(L999*1.6*J999))))</f>
        <v>715</v>
      </c>
      <c r="N999" s="111">
        <f>IF(M999=0,0,(M999/J999))</f>
        <v>1</v>
      </c>
    </row>
    <row r="1000" spans="2:14">
      <c r="B1000" s="72">
        <v>127591</v>
      </c>
      <c r="C1000" s="47" t="s">
        <v>620</v>
      </c>
      <c r="D1000" s="123">
        <f>SUMIF(B$3:B$3844,B1000,M$3:M$3844)/(SUMIF(B$3:B$3844,B1000,J$3:J$3844))</f>
        <v>0.72335604859089875</v>
      </c>
      <c r="E1000" s="47">
        <v>35205</v>
      </c>
      <c r="F1000" s="48" t="s">
        <v>629</v>
      </c>
      <c r="G1000" s="117"/>
      <c r="H1000" s="117"/>
      <c r="I1000" s="40"/>
      <c r="J1000" s="40">
        <v>417</v>
      </c>
      <c r="K1000" s="20">
        <v>2015</v>
      </c>
      <c r="L1000" s="20">
        <v>59.14</v>
      </c>
      <c r="M1000" s="110">
        <f>IF(L1000="",I1000,(MIN(J1000,(L1000*1.6*J1000))))</f>
        <v>417</v>
      </c>
      <c r="N1000" s="111">
        <f>IF(M1000=0,0,(M1000/J1000))</f>
        <v>1</v>
      </c>
    </row>
    <row r="1001" spans="2:14">
      <c r="B1001" s="73">
        <v>127591</v>
      </c>
      <c r="C1001" s="23" t="s">
        <v>620</v>
      </c>
      <c r="D1001" s="123">
        <f>SUMIF(B$3:B$3844,B1001,M$3:M$3844)/(SUMIF(B$3:B$3844,B1001,J$3:J$3844))</f>
        <v>0.72335604859089875</v>
      </c>
      <c r="E1001" s="23">
        <v>35110</v>
      </c>
      <c r="F1001" s="46" t="s">
        <v>630</v>
      </c>
      <c r="G1001" s="117"/>
      <c r="H1001" s="117"/>
      <c r="I1001" s="41"/>
      <c r="J1001" s="41">
        <v>285</v>
      </c>
      <c r="K1001" s="20">
        <v>2015</v>
      </c>
      <c r="L1001" s="20">
        <v>59.14</v>
      </c>
      <c r="M1001" s="110">
        <f>IF(L1001="",I1001,(MIN(J1001,(L1001*1.6*J1001))))</f>
        <v>285</v>
      </c>
      <c r="N1001" s="111">
        <f>IF(M1001=0,0,(M1001/J1001))</f>
        <v>1</v>
      </c>
    </row>
    <row r="1002" spans="2:14">
      <c r="B1002" s="72">
        <v>127591</v>
      </c>
      <c r="C1002" s="47" t="s">
        <v>620</v>
      </c>
      <c r="D1002" s="123">
        <f>SUMIF(B$3:B$3844,B1002,M$3:M$3844)/(SUMIF(B$3:B$3844,B1002,J$3:J$3844))</f>
        <v>0.72335604859089875</v>
      </c>
      <c r="E1002" s="47">
        <v>35103</v>
      </c>
      <c r="F1002" s="48" t="s">
        <v>631</v>
      </c>
      <c r="G1002" s="117"/>
      <c r="H1002" s="117"/>
      <c r="I1002" s="40"/>
      <c r="J1002" s="40">
        <v>422</v>
      </c>
      <c r="K1002" s="20">
        <v>2015</v>
      </c>
      <c r="L1002" s="20">
        <v>59.14</v>
      </c>
      <c r="M1002" s="110">
        <f>IF(L1002="",I1002,(MIN(J1002,(L1002*1.6*J1002))))</f>
        <v>422</v>
      </c>
      <c r="N1002" s="111">
        <f>IF(M1002=0,0,(M1002/J1002))</f>
        <v>1</v>
      </c>
    </row>
    <row r="1003" spans="2:14">
      <c r="B1003" s="73">
        <v>127591</v>
      </c>
      <c r="C1003" s="23" t="s">
        <v>620</v>
      </c>
      <c r="D1003" s="123">
        <f>SUMIF(B$3:B$3844,B1003,M$3:M$3844)/(SUMIF(B$3:B$3844,B1003,J$3:J$3844))</f>
        <v>0.72335604859089875</v>
      </c>
      <c r="E1003" s="23">
        <v>35102</v>
      </c>
      <c r="F1003" s="46" t="s">
        <v>632</v>
      </c>
      <c r="G1003" s="117"/>
      <c r="H1003" s="117"/>
      <c r="I1003" s="41"/>
      <c r="J1003" s="41">
        <v>825</v>
      </c>
      <c r="K1003" s="20">
        <v>2015</v>
      </c>
      <c r="L1003" s="20">
        <v>59.14</v>
      </c>
      <c r="M1003" s="110">
        <f>IF(L1003="",I1003,(MIN(J1003,(L1003*1.6*J1003))))</f>
        <v>825</v>
      </c>
      <c r="N1003" s="111">
        <f>IF(M1003=0,0,(M1003/J1003))</f>
        <v>1</v>
      </c>
    </row>
    <row r="1004" spans="2:14">
      <c r="B1004" s="72">
        <v>127591</v>
      </c>
      <c r="C1004" s="47" t="s">
        <v>620</v>
      </c>
      <c r="D1004" s="123">
        <f>SUMIF(B$3:B$3844,B1004,M$3:M$3844)/(SUMIF(B$3:B$3844,B1004,J$3:J$3844))</f>
        <v>0.72335604859089875</v>
      </c>
      <c r="E1004" s="47">
        <v>35167</v>
      </c>
      <c r="F1004" s="48" t="s">
        <v>633</v>
      </c>
      <c r="G1004" s="117"/>
      <c r="H1004" s="117"/>
      <c r="I1004" s="40">
        <v>152</v>
      </c>
      <c r="J1004" s="40">
        <v>442</v>
      </c>
      <c r="K1004" s="20"/>
      <c r="L1004" s="20"/>
      <c r="M1004" s="110">
        <f>IF(L1004="",I1004,(MIN(J1004,(L1004*1.6*J1004))))</f>
        <v>152</v>
      </c>
      <c r="N1004" s="111">
        <f>IF(M1004=0,0,(M1004/J1004))</f>
        <v>0.34389140271493213</v>
      </c>
    </row>
    <row r="1005" spans="2:14">
      <c r="B1005" s="73">
        <v>127591</v>
      </c>
      <c r="C1005" s="23" t="s">
        <v>620</v>
      </c>
      <c r="D1005" s="123">
        <f>SUMIF(B$3:B$3844,B1005,M$3:M$3844)/(SUMIF(B$3:B$3844,B1005,J$3:J$3844))</f>
        <v>0.72335604859089875</v>
      </c>
      <c r="E1005" s="23">
        <v>16062839</v>
      </c>
      <c r="F1005" s="46" t="s">
        <v>634</v>
      </c>
      <c r="G1005" s="117"/>
      <c r="H1005" s="117"/>
      <c r="I1005" s="41">
        <v>611</v>
      </c>
      <c r="J1005" s="41">
        <v>2108</v>
      </c>
      <c r="K1005" s="20"/>
      <c r="L1005" s="20"/>
      <c r="M1005" s="110">
        <f>IF(L1005="",I1005,(MIN(J1005,(L1005*1.6*J1005))))</f>
        <v>611</v>
      </c>
      <c r="N1005" s="111">
        <f>IF(M1005=0,0,(M1005/J1005))</f>
        <v>0.28984819734345352</v>
      </c>
    </row>
    <row r="1006" spans="2:14">
      <c r="B1006" s="72">
        <v>127591</v>
      </c>
      <c r="C1006" s="47" t="s">
        <v>620</v>
      </c>
      <c r="D1006" s="123">
        <f>SUMIF(B$3:B$3844,B1006,M$3:M$3844)/(SUMIF(B$3:B$3844,B1006,J$3:J$3844))</f>
        <v>0.72335604859089875</v>
      </c>
      <c r="E1006" s="47">
        <v>35171</v>
      </c>
      <c r="F1006" s="48" t="s">
        <v>635</v>
      </c>
      <c r="G1006" s="117"/>
      <c r="H1006" s="117"/>
      <c r="I1006" s="40">
        <v>524</v>
      </c>
      <c r="J1006" s="40">
        <v>1130</v>
      </c>
      <c r="K1006" s="20"/>
      <c r="L1006" s="20"/>
      <c r="M1006" s="110">
        <f>IF(L1006="",I1006,(MIN(J1006,(L1006*1.6*J1006))))</f>
        <v>524</v>
      </c>
      <c r="N1006" s="111">
        <f>IF(M1006=0,0,(M1006/J1006))</f>
        <v>0.46371681415929206</v>
      </c>
    </row>
    <row r="1007" spans="2:14">
      <c r="B1007" s="73">
        <v>127591</v>
      </c>
      <c r="C1007" s="23" t="s">
        <v>620</v>
      </c>
      <c r="D1007" s="123">
        <f>SUMIF(B$3:B$3844,B1007,M$3:M$3844)/(SUMIF(B$3:B$3844,B1007,J$3:J$3844))</f>
        <v>0.72335604859089875</v>
      </c>
      <c r="E1007" s="23">
        <v>16054991</v>
      </c>
      <c r="F1007" s="46" t="s">
        <v>636</v>
      </c>
      <c r="G1007" s="117"/>
      <c r="H1007" s="117"/>
      <c r="I1007" s="41">
        <v>219</v>
      </c>
      <c r="J1007" s="41">
        <v>893</v>
      </c>
      <c r="K1007" s="20"/>
      <c r="L1007" s="20"/>
      <c r="M1007" s="110">
        <f>IF(L1007="",I1007,(MIN(J1007,(L1007*1.6*J1007))))</f>
        <v>219</v>
      </c>
      <c r="N1007" s="111">
        <f>IF(M1007=0,0,(M1007/J1007))</f>
        <v>0.24524076147816348</v>
      </c>
    </row>
    <row r="1008" spans="2:14">
      <c r="B1008" s="72">
        <v>127591</v>
      </c>
      <c r="C1008" s="47" t="s">
        <v>620</v>
      </c>
      <c r="D1008" s="123">
        <f>SUMIF(B$3:B$3844,B1008,M$3:M$3844)/(SUMIF(B$3:B$3844,B1008,J$3:J$3844))</f>
        <v>0.72335604859089875</v>
      </c>
      <c r="E1008" s="47">
        <v>35089</v>
      </c>
      <c r="F1008" s="48" t="s">
        <v>15</v>
      </c>
      <c r="G1008" s="117"/>
      <c r="H1008" s="117"/>
      <c r="I1008" s="40"/>
      <c r="J1008" s="40">
        <v>379</v>
      </c>
      <c r="K1008" s="20">
        <v>2015</v>
      </c>
      <c r="L1008" s="20">
        <v>59.14</v>
      </c>
      <c r="M1008" s="110">
        <f>IF(L1008="",I1008,(MIN(J1008,(L1008*1.6*J1008))))</f>
        <v>379</v>
      </c>
      <c r="N1008" s="111">
        <f>IF(M1008=0,0,(M1008/J1008))</f>
        <v>1</v>
      </c>
    </row>
    <row r="1009" spans="2:14">
      <c r="B1009" s="73">
        <v>127591</v>
      </c>
      <c r="C1009" s="23" t="s">
        <v>620</v>
      </c>
      <c r="D1009" s="123">
        <f>SUMIF(B$3:B$3844,B1009,M$3:M$3844)/(SUMIF(B$3:B$3844,B1009,J$3:J$3844))</f>
        <v>0.72335604859089875</v>
      </c>
      <c r="E1009" s="23">
        <v>35214</v>
      </c>
      <c r="F1009" s="46" t="s">
        <v>637</v>
      </c>
      <c r="G1009" s="117"/>
      <c r="H1009" s="117"/>
      <c r="I1009" s="41"/>
      <c r="J1009" s="41">
        <v>966</v>
      </c>
      <c r="K1009" s="20">
        <v>2015</v>
      </c>
      <c r="L1009" s="20">
        <v>59.14</v>
      </c>
      <c r="M1009" s="110">
        <f>IF(L1009="",I1009,(MIN(J1009,(L1009*1.6*J1009))))</f>
        <v>966</v>
      </c>
      <c r="N1009" s="111">
        <f>IF(M1009=0,0,(M1009/J1009))</f>
        <v>1</v>
      </c>
    </row>
    <row r="1010" spans="2:14">
      <c r="B1010" s="72">
        <v>127591</v>
      </c>
      <c r="C1010" s="47" t="s">
        <v>620</v>
      </c>
      <c r="D1010" s="123">
        <f>SUMIF(B$3:B$3844,B1010,M$3:M$3844)/(SUMIF(B$3:B$3844,B1010,J$3:J$3844))</f>
        <v>0.72335604859089875</v>
      </c>
      <c r="E1010" s="47">
        <v>35199</v>
      </c>
      <c r="F1010" s="48" t="s">
        <v>638</v>
      </c>
      <c r="G1010" s="117"/>
      <c r="H1010" s="117"/>
      <c r="I1010" s="40"/>
      <c r="J1010" s="40">
        <v>354</v>
      </c>
      <c r="K1010" s="20">
        <v>2015</v>
      </c>
      <c r="L1010" s="20">
        <v>59.14</v>
      </c>
      <c r="M1010" s="110">
        <f>IF(L1010="",I1010,(MIN(J1010,(L1010*1.6*J1010))))</f>
        <v>354</v>
      </c>
      <c r="N1010" s="111">
        <f>IF(M1010=0,0,(M1010/J1010))</f>
        <v>1</v>
      </c>
    </row>
    <row r="1011" spans="2:14">
      <c r="B1011" s="73">
        <v>127591</v>
      </c>
      <c r="C1011" s="23" t="s">
        <v>620</v>
      </c>
      <c r="D1011" s="123">
        <f>SUMIF(B$3:B$3844,B1011,M$3:M$3844)/(SUMIF(B$3:B$3844,B1011,J$3:J$3844))</f>
        <v>0.72335604859089875</v>
      </c>
      <c r="E1011" s="23">
        <v>16024512</v>
      </c>
      <c r="F1011" s="46" t="s">
        <v>289</v>
      </c>
      <c r="G1011" s="117"/>
      <c r="H1011" s="117"/>
      <c r="I1011" s="41"/>
      <c r="J1011" s="41">
        <v>687</v>
      </c>
      <c r="K1011" s="20">
        <v>2015</v>
      </c>
      <c r="L1011" s="20">
        <v>59.14</v>
      </c>
      <c r="M1011" s="110">
        <f>IF(L1011="",I1011,(MIN(J1011,(L1011*1.6*J1011))))</f>
        <v>687</v>
      </c>
      <c r="N1011" s="111">
        <f>IF(M1011=0,0,(M1011/J1011))</f>
        <v>1</v>
      </c>
    </row>
    <row r="1012" spans="2:14">
      <c r="B1012" s="72">
        <v>127591</v>
      </c>
      <c r="C1012" s="47" t="s">
        <v>620</v>
      </c>
      <c r="D1012" s="123">
        <f>SUMIF(B$3:B$3844,B1012,M$3:M$3844)/(SUMIF(B$3:B$3844,B1012,J$3:J$3844))</f>
        <v>0.72335604859089875</v>
      </c>
      <c r="E1012" s="47">
        <v>35008</v>
      </c>
      <c r="F1012" s="48" t="s">
        <v>297</v>
      </c>
      <c r="G1012" s="117"/>
      <c r="H1012" s="117"/>
      <c r="I1012" s="40"/>
      <c r="J1012" s="40">
        <v>327</v>
      </c>
      <c r="K1012" s="20">
        <v>2015</v>
      </c>
      <c r="L1012" s="20">
        <v>59.14</v>
      </c>
      <c r="M1012" s="110">
        <f>IF(L1012="",I1012,(MIN(J1012,(L1012*1.6*J1012))))</f>
        <v>327</v>
      </c>
      <c r="N1012" s="111">
        <f>IF(M1012=0,0,(M1012/J1012))</f>
        <v>1</v>
      </c>
    </row>
    <row r="1013" spans="2:14">
      <c r="B1013" s="73">
        <v>127591</v>
      </c>
      <c r="C1013" s="23" t="s">
        <v>620</v>
      </c>
      <c r="D1013" s="123">
        <f>SUMIF(B$3:B$3844,B1013,M$3:M$3844)/(SUMIF(B$3:B$3844,B1013,J$3:J$3844))</f>
        <v>0.72335604859089875</v>
      </c>
      <c r="E1013" s="23">
        <v>35188</v>
      </c>
      <c r="F1013" s="46" t="s">
        <v>639</v>
      </c>
      <c r="G1013" s="117"/>
      <c r="H1013" s="117"/>
      <c r="I1013" s="41"/>
      <c r="J1013" s="41">
        <v>739</v>
      </c>
      <c r="K1013" s="20">
        <v>2015</v>
      </c>
      <c r="L1013" s="20">
        <v>59.14</v>
      </c>
      <c r="M1013" s="110">
        <f>IF(L1013="",I1013,(MIN(J1013,(L1013*1.6*J1013))))</f>
        <v>739</v>
      </c>
      <c r="N1013" s="111">
        <f>IF(M1013=0,0,(M1013/J1013))</f>
        <v>1</v>
      </c>
    </row>
    <row r="1014" spans="2:14">
      <c r="B1014" s="72">
        <v>127591</v>
      </c>
      <c r="C1014" s="47" t="s">
        <v>620</v>
      </c>
      <c r="D1014" s="123">
        <f>SUMIF(B$3:B$3844,B1014,M$3:M$3844)/(SUMIF(B$3:B$3844,B1014,J$3:J$3844))</f>
        <v>0.72335604859089875</v>
      </c>
      <c r="E1014" s="47">
        <v>35054</v>
      </c>
      <c r="F1014" s="48" t="s">
        <v>640</v>
      </c>
      <c r="G1014" s="117"/>
      <c r="H1014" s="117"/>
      <c r="I1014" s="40"/>
      <c r="J1014" s="40">
        <v>503</v>
      </c>
      <c r="K1014" s="20">
        <v>2015</v>
      </c>
      <c r="L1014" s="20">
        <v>59.14</v>
      </c>
      <c r="M1014" s="110">
        <f>IF(L1014="",I1014,(MIN(J1014,(L1014*1.6*J1014))))</f>
        <v>503</v>
      </c>
      <c r="N1014" s="111">
        <f>IF(M1014=0,0,(M1014/J1014))</f>
        <v>1</v>
      </c>
    </row>
    <row r="1015" spans="2:14">
      <c r="B1015" s="73">
        <v>127591</v>
      </c>
      <c r="C1015" s="23" t="s">
        <v>620</v>
      </c>
      <c r="D1015" s="123">
        <f>SUMIF(B$3:B$3844,B1015,M$3:M$3844)/(SUMIF(B$3:B$3844,B1015,J$3:J$3844))</f>
        <v>0.72335604859089875</v>
      </c>
      <c r="E1015" s="23">
        <v>35093</v>
      </c>
      <c r="F1015" s="46" t="s">
        <v>641</v>
      </c>
      <c r="G1015" s="117"/>
      <c r="H1015" s="117"/>
      <c r="I1015" s="41"/>
      <c r="J1015" s="41">
        <v>490</v>
      </c>
      <c r="K1015" s="20">
        <v>2015</v>
      </c>
      <c r="L1015" s="20">
        <v>59.14</v>
      </c>
      <c r="M1015" s="110">
        <f>IF(L1015="",I1015,(MIN(J1015,(L1015*1.6*J1015))))</f>
        <v>490</v>
      </c>
      <c r="N1015" s="111">
        <f>IF(M1015=0,0,(M1015/J1015))</f>
        <v>1</v>
      </c>
    </row>
    <row r="1016" spans="2:14">
      <c r="B1016" s="72">
        <v>127591</v>
      </c>
      <c r="C1016" s="47" t="s">
        <v>620</v>
      </c>
      <c r="D1016" s="123">
        <f>SUMIF(B$3:B$3844,B1016,M$3:M$3844)/(SUMIF(B$3:B$3844,B1016,J$3:J$3844))</f>
        <v>0.72335604859089875</v>
      </c>
      <c r="E1016" s="47">
        <v>35208</v>
      </c>
      <c r="F1016" s="48" t="s">
        <v>642</v>
      </c>
      <c r="G1016" s="117"/>
      <c r="H1016" s="117"/>
      <c r="I1016" s="40"/>
      <c r="J1016" s="40">
        <v>368</v>
      </c>
      <c r="K1016" s="20">
        <v>2015</v>
      </c>
      <c r="L1016" s="20">
        <v>59.14</v>
      </c>
      <c r="M1016" s="110">
        <f>IF(L1016="",I1016,(MIN(J1016,(L1016*1.6*J1016))))</f>
        <v>368</v>
      </c>
      <c r="N1016" s="111">
        <f>IF(M1016=0,0,(M1016/J1016))</f>
        <v>1</v>
      </c>
    </row>
    <row r="1017" spans="2:14">
      <c r="B1017" s="73">
        <v>127591</v>
      </c>
      <c r="C1017" s="23" t="s">
        <v>620</v>
      </c>
      <c r="D1017" s="123">
        <f>SUMIF(B$3:B$3844,B1017,M$3:M$3844)/(SUMIF(B$3:B$3844,B1017,J$3:J$3844))</f>
        <v>0.72335604859089875</v>
      </c>
      <c r="E1017" s="23">
        <v>16042886</v>
      </c>
      <c r="F1017" s="46" t="s">
        <v>643</v>
      </c>
      <c r="G1017" s="117"/>
      <c r="H1017" s="117"/>
      <c r="I1017" s="41">
        <v>400</v>
      </c>
      <c r="J1017" s="41">
        <v>743</v>
      </c>
      <c r="K1017" s="20"/>
      <c r="L1017" s="20"/>
      <c r="M1017" s="110">
        <f>IF(L1017="",I1017,(MIN(J1017,(L1017*1.6*J1017))))</f>
        <v>400</v>
      </c>
      <c r="N1017" s="111">
        <f>IF(M1017=0,0,(M1017/J1017))</f>
        <v>0.53835800807537015</v>
      </c>
    </row>
    <row r="1018" spans="2:14">
      <c r="B1018" s="72">
        <v>127591</v>
      </c>
      <c r="C1018" s="47" t="s">
        <v>620</v>
      </c>
      <c r="D1018" s="123">
        <f>SUMIF(B$3:B$3844,B1018,M$3:M$3844)/(SUMIF(B$3:B$3844,B1018,J$3:J$3844))</f>
        <v>0.72335604859089875</v>
      </c>
      <c r="E1018" s="47">
        <v>212660</v>
      </c>
      <c r="F1018" s="48" t="s">
        <v>644</v>
      </c>
      <c r="G1018" s="117"/>
      <c r="H1018" s="117"/>
      <c r="I1018" s="40">
        <v>440</v>
      </c>
      <c r="J1018" s="40">
        <v>1297</v>
      </c>
      <c r="K1018" s="20"/>
      <c r="L1018" s="20"/>
      <c r="M1018" s="110">
        <f>IF(L1018="",I1018,(MIN(J1018,(L1018*1.6*J1018))))</f>
        <v>440</v>
      </c>
      <c r="N1018" s="111">
        <f>IF(M1018=0,0,(M1018/J1018))</f>
        <v>0.33924441017733231</v>
      </c>
    </row>
    <row r="1019" spans="2:14">
      <c r="B1019" s="73">
        <v>127591</v>
      </c>
      <c r="C1019" s="23" t="s">
        <v>620</v>
      </c>
      <c r="D1019" s="123">
        <f>SUMIF(B$3:B$3844,B1019,M$3:M$3844)/(SUMIF(B$3:B$3844,B1019,J$3:J$3844))</f>
        <v>0.72335604859089875</v>
      </c>
      <c r="E1019" s="23">
        <v>35183</v>
      </c>
      <c r="F1019" s="46" t="s">
        <v>645</v>
      </c>
      <c r="G1019" s="117"/>
      <c r="H1019" s="117"/>
      <c r="I1019" s="41"/>
      <c r="J1019" s="41">
        <v>1047</v>
      </c>
      <c r="K1019" s="20">
        <v>2015</v>
      </c>
      <c r="L1019" s="20">
        <v>59.14</v>
      </c>
      <c r="M1019" s="110">
        <f>IF(L1019="",I1019,(MIN(J1019,(L1019*1.6*J1019))))</f>
        <v>1047</v>
      </c>
      <c r="N1019" s="111">
        <f>IF(M1019=0,0,(M1019/J1019))</f>
        <v>1</v>
      </c>
    </row>
    <row r="1020" spans="2:14">
      <c r="B1020" s="72">
        <v>127591</v>
      </c>
      <c r="C1020" s="47" t="s">
        <v>620</v>
      </c>
      <c r="D1020" s="123">
        <f>SUMIF(B$3:B$3844,B1020,M$3:M$3844)/(SUMIF(B$3:B$3844,B1020,J$3:J$3844))</f>
        <v>0.72335604859089875</v>
      </c>
      <c r="E1020" s="47">
        <v>35218</v>
      </c>
      <c r="F1020" s="48" t="s">
        <v>646</v>
      </c>
      <c r="G1020" s="117"/>
      <c r="H1020" s="117"/>
      <c r="I1020" s="40"/>
      <c r="J1020" s="40">
        <v>967</v>
      </c>
      <c r="K1020" s="20">
        <v>2015</v>
      </c>
      <c r="L1020" s="20">
        <v>59.14</v>
      </c>
      <c r="M1020" s="110">
        <f>IF(L1020="",I1020,(MIN(J1020,(L1020*1.6*J1020))))</f>
        <v>967</v>
      </c>
      <c r="N1020" s="111">
        <f>IF(M1020=0,0,(M1020/J1020))</f>
        <v>1</v>
      </c>
    </row>
    <row r="1021" spans="2:14">
      <c r="B1021" s="73">
        <v>127591</v>
      </c>
      <c r="C1021" s="23" t="s">
        <v>620</v>
      </c>
      <c r="D1021" s="123">
        <f>SUMIF(B$3:B$3844,B1021,M$3:M$3844)/(SUMIF(B$3:B$3844,B1021,J$3:J$3844))</f>
        <v>0.72335604859089875</v>
      </c>
      <c r="E1021" s="23">
        <v>35150</v>
      </c>
      <c r="F1021" s="46" t="s">
        <v>647</v>
      </c>
      <c r="G1021" s="117"/>
      <c r="H1021" s="117"/>
      <c r="I1021" s="41"/>
      <c r="J1021" s="41">
        <v>1122</v>
      </c>
      <c r="K1021" s="20">
        <v>2015</v>
      </c>
      <c r="L1021" s="20">
        <v>59.14</v>
      </c>
      <c r="M1021" s="110">
        <f>IF(L1021="",I1021,(MIN(J1021,(L1021*1.6*J1021))))</f>
        <v>1122</v>
      </c>
      <c r="N1021" s="111">
        <f>IF(M1021=0,0,(M1021/J1021))</f>
        <v>1</v>
      </c>
    </row>
    <row r="1022" spans="2:14">
      <c r="B1022" s="72">
        <v>127591</v>
      </c>
      <c r="C1022" s="47" t="s">
        <v>620</v>
      </c>
      <c r="D1022" s="123">
        <f>SUMIF(B$3:B$3844,B1022,M$3:M$3844)/(SUMIF(B$3:B$3844,B1022,J$3:J$3844))</f>
        <v>0.72335604859089875</v>
      </c>
      <c r="E1022" s="47">
        <v>35072</v>
      </c>
      <c r="F1022" s="48" t="s">
        <v>648</v>
      </c>
      <c r="G1022" s="117"/>
      <c r="H1022" s="117"/>
      <c r="I1022" s="40">
        <v>484</v>
      </c>
      <c r="J1022" s="40">
        <v>1142</v>
      </c>
      <c r="K1022" s="20"/>
      <c r="L1022" s="20"/>
      <c r="M1022" s="110">
        <f>IF(L1022="",I1022,(MIN(J1022,(L1022*1.6*J1022))))</f>
        <v>484</v>
      </c>
      <c r="N1022" s="111">
        <f>IF(M1022=0,0,(M1022/J1022))</f>
        <v>0.42381786339754818</v>
      </c>
    </row>
    <row r="1023" spans="2:14">
      <c r="B1023" s="73">
        <v>127591</v>
      </c>
      <c r="C1023" s="23" t="s">
        <v>620</v>
      </c>
      <c r="D1023" s="123">
        <f>SUMIF(B$3:B$3844,B1023,M$3:M$3844)/(SUMIF(B$3:B$3844,B1023,J$3:J$3844))</f>
        <v>0.72335604859089875</v>
      </c>
      <c r="E1023" s="23">
        <v>35144</v>
      </c>
      <c r="F1023" s="46" t="s">
        <v>649</v>
      </c>
      <c r="G1023" s="117"/>
      <c r="H1023" s="117"/>
      <c r="I1023" s="41"/>
      <c r="J1023" s="41">
        <v>511</v>
      </c>
      <c r="K1023" s="20">
        <v>2015</v>
      </c>
      <c r="L1023" s="20">
        <v>59.14</v>
      </c>
      <c r="M1023" s="110">
        <f>IF(L1023="",I1023,(MIN(J1023,(L1023*1.6*J1023))))</f>
        <v>511</v>
      </c>
      <c r="N1023" s="111">
        <f>IF(M1023=0,0,(M1023/J1023))</f>
        <v>1</v>
      </c>
    </row>
    <row r="1024" spans="2:14">
      <c r="B1024" s="72">
        <v>127591</v>
      </c>
      <c r="C1024" s="47" t="s">
        <v>620</v>
      </c>
      <c r="D1024" s="123">
        <f>SUMIF(B$3:B$3844,B1024,M$3:M$3844)/(SUMIF(B$3:B$3844,B1024,J$3:J$3844))</f>
        <v>0.72335604859089875</v>
      </c>
      <c r="E1024" s="47">
        <v>235335</v>
      </c>
      <c r="F1024" s="48" t="s">
        <v>650</v>
      </c>
      <c r="G1024" s="117"/>
      <c r="H1024" s="117"/>
      <c r="I1024" s="40"/>
      <c r="J1024" s="40">
        <v>543</v>
      </c>
      <c r="K1024" s="20">
        <v>2015</v>
      </c>
      <c r="L1024" s="20">
        <v>59.14</v>
      </c>
      <c r="M1024" s="110">
        <f>IF(L1024="",I1024,(MIN(J1024,(L1024*1.6*J1024))))</f>
        <v>543</v>
      </c>
      <c r="N1024" s="111">
        <f>IF(M1024=0,0,(M1024/J1024))</f>
        <v>1</v>
      </c>
    </row>
    <row r="1025" spans="2:14">
      <c r="B1025" s="73">
        <v>127591</v>
      </c>
      <c r="C1025" s="23" t="s">
        <v>620</v>
      </c>
      <c r="D1025" s="123">
        <f>SUMIF(B$3:B$3844,B1025,M$3:M$3844)/(SUMIF(B$3:B$3844,B1025,J$3:J$3844))</f>
        <v>0.72335604859089875</v>
      </c>
      <c r="E1025" s="23">
        <v>35027</v>
      </c>
      <c r="F1025" s="46" t="s">
        <v>651</v>
      </c>
      <c r="G1025" s="117"/>
      <c r="H1025" s="117"/>
      <c r="I1025" s="41">
        <v>263</v>
      </c>
      <c r="J1025" s="41">
        <v>1200</v>
      </c>
      <c r="K1025" s="20"/>
      <c r="L1025" s="20"/>
      <c r="M1025" s="110">
        <f>IF(L1025="",I1025,(MIN(J1025,(L1025*1.6*J1025))))</f>
        <v>263</v>
      </c>
      <c r="N1025" s="111">
        <f>IF(M1025=0,0,(M1025/J1025))</f>
        <v>0.21916666666666668</v>
      </c>
    </row>
    <row r="1026" spans="2:14">
      <c r="B1026" s="72">
        <v>127591</v>
      </c>
      <c r="C1026" s="47" t="s">
        <v>620</v>
      </c>
      <c r="D1026" s="123">
        <f>SUMIF(B$3:B$3844,B1026,M$3:M$3844)/(SUMIF(B$3:B$3844,B1026,J$3:J$3844))</f>
        <v>0.72335604859089875</v>
      </c>
      <c r="E1026" s="47">
        <v>35229</v>
      </c>
      <c r="F1026" s="48" t="s">
        <v>652</v>
      </c>
      <c r="G1026" s="117"/>
      <c r="H1026" s="117"/>
      <c r="I1026" s="40">
        <v>665</v>
      </c>
      <c r="J1026" s="40">
        <v>2161</v>
      </c>
      <c r="K1026" s="20"/>
      <c r="L1026" s="20"/>
      <c r="M1026" s="110">
        <f>IF(L1026="",I1026,(MIN(J1026,(L1026*1.6*J1026))))</f>
        <v>665</v>
      </c>
      <c r="N1026" s="111">
        <f>IF(M1026=0,0,(M1026/J1026))</f>
        <v>0.3077279037482647</v>
      </c>
    </row>
    <row r="1027" spans="2:14">
      <c r="B1027" s="73">
        <v>127591</v>
      </c>
      <c r="C1027" s="23" t="s">
        <v>620</v>
      </c>
      <c r="D1027" s="123">
        <f>SUMIF(B$3:B$3844,B1027,M$3:M$3844)/(SUMIF(B$3:B$3844,B1027,J$3:J$3844))</f>
        <v>0.72335604859089875</v>
      </c>
      <c r="E1027" s="23">
        <v>35196</v>
      </c>
      <c r="F1027" s="46" t="s">
        <v>653</v>
      </c>
      <c r="G1027" s="117"/>
      <c r="H1027" s="117"/>
      <c r="I1027" s="41">
        <v>444</v>
      </c>
      <c r="J1027" s="41">
        <v>1273</v>
      </c>
      <c r="K1027" s="20"/>
      <c r="L1027" s="20"/>
      <c r="M1027" s="110">
        <f>IF(L1027="",I1027,(MIN(J1027,(L1027*1.6*J1027))))</f>
        <v>444</v>
      </c>
      <c r="N1027" s="111">
        <f>IF(M1027=0,0,(M1027/J1027))</f>
        <v>0.34878240377062059</v>
      </c>
    </row>
    <row r="1028" spans="2:14">
      <c r="B1028" s="73">
        <v>127591</v>
      </c>
      <c r="C1028" s="23" t="s">
        <v>620</v>
      </c>
      <c r="D1028" s="123">
        <f>SUMIF(B$3:B$3844,B1028,M$3:M$3844)/(SUMIF(B$3:B$3844,B1028,J$3:J$3844))</f>
        <v>0.72335604859089875</v>
      </c>
      <c r="E1028" s="23">
        <v>35076</v>
      </c>
      <c r="F1028" s="46" t="s">
        <v>654</v>
      </c>
      <c r="G1028" s="117"/>
      <c r="H1028" s="117"/>
      <c r="I1028" s="41"/>
      <c r="J1028" s="41">
        <v>1679</v>
      </c>
      <c r="K1028" s="20">
        <v>2015</v>
      </c>
      <c r="L1028" s="20">
        <v>59.14</v>
      </c>
      <c r="M1028" s="110">
        <f>IF(L1028="",I1028,(MIN(J1028,(L1028*1.6*J1028))))</f>
        <v>1679</v>
      </c>
      <c r="N1028" s="111">
        <f>IF(M1028=0,0,(M1028/J1028))</f>
        <v>1</v>
      </c>
    </row>
    <row r="1029" spans="2:14">
      <c r="B1029" s="72">
        <v>127591</v>
      </c>
      <c r="C1029" s="47" t="s">
        <v>620</v>
      </c>
      <c r="D1029" s="123">
        <f>SUMIF(B$3:B$3844,B1029,M$3:M$3844)/(SUMIF(B$3:B$3844,B1029,J$3:J$3844))</f>
        <v>0.72335604859089875</v>
      </c>
      <c r="E1029" s="47">
        <v>35033</v>
      </c>
      <c r="F1029" s="48" t="s">
        <v>655</v>
      </c>
      <c r="G1029" s="117"/>
      <c r="H1029" s="117"/>
      <c r="I1029" s="40"/>
      <c r="J1029" s="40">
        <v>475</v>
      </c>
      <c r="K1029" s="20">
        <v>2015</v>
      </c>
      <c r="L1029" s="20">
        <v>59.14</v>
      </c>
      <c r="M1029" s="110">
        <f>IF(L1029="",I1029,(MIN(J1029,(L1029*1.6*J1029))))</f>
        <v>475</v>
      </c>
      <c r="N1029" s="111">
        <f>IF(M1029=0,0,(M1029/J1029))</f>
        <v>1</v>
      </c>
    </row>
    <row r="1030" spans="2:14">
      <c r="B1030" s="73">
        <v>127591</v>
      </c>
      <c r="C1030" s="23" t="s">
        <v>620</v>
      </c>
      <c r="D1030" s="123">
        <f>SUMIF(B$3:B$3844,B1030,M$3:M$3844)/(SUMIF(B$3:B$3844,B1030,J$3:J$3844))</f>
        <v>0.72335604859089875</v>
      </c>
      <c r="E1030" s="23">
        <v>35035</v>
      </c>
      <c r="F1030" s="46" t="s">
        <v>656</v>
      </c>
      <c r="G1030" s="117"/>
      <c r="H1030" s="117"/>
      <c r="I1030" s="41"/>
      <c r="J1030" s="41">
        <v>1839</v>
      </c>
      <c r="K1030" s="20">
        <v>2015</v>
      </c>
      <c r="L1030" s="20">
        <v>59.14</v>
      </c>
      <c r="M1030" s="110">
        <f>IF(L1030="",I1030,(MIN(J1030,(L1030*1.6*J1030))))</f>
        <v>1839</v>
      </c>
      <c r="N1030" s="111">
        <f>IF(M1030=0,0,(M1030/J1030))</f>
        <v>1</v>
      </c>
    </row>
    <row r="1031" spans="2:14">
      <c r="B1031" s="72">
        <v>127591</v>
      </c>
      <c r="C1031" s="47" t="s">
        <v>620</v>
      </c>
      <c r="D1031" s="123">
        <f>SUMIF(B$3:B$3844,B1031,M$3:M$3844)/(SUMIF(B$3:B$3844,B1031,J$3:J$3844))</f>
        <v>0.72335604859089875</v>
      </c>
      <c r="E1031" s="47">
        <v>212662</v>
      </c>
      <c r="F1031" s="48" t="s">
        <v>657</v>
      </c>
      <c r="G1031" s="117"/>
      <c r="H1031" s="117"/>
      <c r="I1031" s="40"/>
      <c r="J1031" s="40">
        <v>819</v>
      </c>
      <c r="K1031" s="20">
        <v>2015</v>
      </c>
      <c r="L1031" s="20">
        <v>59.14</v>
      </c>
      <c r="M1031" s="110">
        <f>IF(L1031="",I1031,(MIN(J1031,(L1031*1.6*J1031))))</f>
        <v>819</v>
      </c>
      <c r="N1031" s="111">
        <f>IF(M1031=0,0,(M1031/J1031))</f>
        <v>1</v>
      </c>
    </row>
    <row r="1032" spans="2:14">
      <c r="B1032" s="73">
        <v>127591</v>
      </c>
      <c r="C1032" s="23" t="s">
        <v>620</v>
      </c>
      <c r="D1032" s="123">
        <f>SUMIF(B$3:B$3844,B1032,M$3:M$3844)/(SUMIF(B$3:B$3844,B1032,J$3:J$3844))</f>
        <v>0.72335604859089875</v>
      </c>
      <c r="E1032" s="23">
        <v>35133</v>
      </c>
      <c r="F1032" s="46" t="s">
        <v>658</v>
      </c>
      <c r="G1032" s="117"/>
      <c r="H1032" s="117"/>
      <c r="I1032" s="41">
        <v>1033</v>
      </c>
      <c r="J1032" s="41">
        <v>2047</v>
      </c>
      <c r="K1032" s="20"/>
      <c r="L1032" s="20"/>
      <c r="M1032" s="110">
        <f>IF(L1032="",I1032,(MIN(J1032,(L1032*1.6*J1032))))</f>
        <v>1033</v>
      </c>
      <c r="N1032" s="111">
        <f>IF(M1032=0,0,(M1032/J1032))</f>
        <v>0.50464093795798726</v>
      </c>
    </row>
    <row r="1033" spans="2:14">
      <c r="B1033" s="72">
        <v>127591</v>
      </c>
      <c r="C1033" s="47" t="s">
        <v>620</v>
      </c>
      <c r="D1033" s="123">
        <f>SUMIF(B$3:B$3844,B1033,M$3:M$3844)/(SUMIF(B$3:B$3844,B1033,J$3:J$3844))</f>
        <v>0.72335604859089875</v>
      </c>
      <c r="E1033" s="47">
        <v>35005</v>
      </c>
      <c r="F1033" s="48" t="s">
        <v>659</v>
      </c>
      <c r="G1033" s="117"/>
      <c r="H1033" s="117"/>
      <c r="I1033" s="40">
        <v>180</v>
      </c>
      <c r="J1033" s="40">
        <v>430</v>
      </c>
      <c r="K1033" s="20"/>
      <c r="L1033" s="20"/>
      <c r="M1033" s="110">
        <f>IF(L1033="",I1033,(MIN(J1033,(L1033*1.6*J1033))))</f>
        <v>180</v>
      </c>
      <c r="N1033" s="111">
        <f>IF(M1033=0,0,(M1033/J1033))</f>
        <v>0.41860465116279072</v>
      </c>
    </row>
    <row r="1034" spans="2:14">
      <c r="B1034" s="73">
        <v>127591</v>
      </c>
      <c r="C1034" s="23" t="s">
        <v>620</v>
      </c>
      <c r="D1034" s="123">
        <f>SUMIF(B$3:B$3844,B1034,M$3:M$3844)/(SUMIF(B$3:B$3844,B1034,J$3:J$3844))</f>
        <v>0.72335604859089875</v>
      </c>
      <c r="E1034" s="23">
        <v>17004279</v>
      </c>
      <c r="F1034" s="46" t="s">
        <v>660</v>
      </c>
      <c r="G1034" s="117"/>
      <c r="H1034" s="117"/>
      <c r="I1034" s="41">
        <v>89</v>
      </c>
      <c r="J1034" s="41">
        <v>229</v>
      </c>
      <c r="K1034" s="20"/>
      <c r="L1034" s="20"/>
      <c r="M1034" s="110">
        <f>IF(L1034="",I1034,(MIN(J1034,(L1034*1.6*J1034))))</f>
        <v>89</v>
      </c>
      <c r="N1034" s="111">
        <f>IF(M1034=0,0,(M1034/J1034))</f>
        <v>0.388646288209607</v>
      </c>
    </row>
    <row r="1035" spans="2:14">
      <c r="B1035" s="72">
        <v>127591</v>
      </c>
      <c r="C1035" s="47" t="s">
        <v>620</v>
      </c>
      <c r="D1035" s="123">
        <f>SUMIF(B$3:B$3844,B1035,M$3:M$3844)/(SUMIF(B$3:B$3844,B1035,J$3:J$3844))</f>
        <v>0.72335604859089875</v>
      </c>
      <c r="E1035" s="47">
        <v>35234</v>
      </c>
      <c r="F1035" s="48" t="s">
        <v>661</v>
      </c>
      <c r="G1035" s="117"/>
      <c r="H1035" s="117"/>
      <c r="I1035" s="40"/>
      <c r="J1035" s="40">
        <v>680</v>
      </c>
      <c r="K1035" s="20">
        <v>2015</v>
      </c>
      <c r="L1035" s="20">
        <v>59.14</v>
      </c>
      <c r="M1035" s="110">
        <f>IF(L1035="",I1035,(MIN(J1035,(L1035*1.6*J1035))))</f>
        <v>680</v>
      </c>
      <c r="N1035" s="111">
        <f>IF(M1035=0,0,(M1035/J1035))</f>
        <v>1</v>
      </c>
    </row>
    <row r="1036" spans="2:14">
      <c r="B1036" s="73">
        <v>127591</v>
      </c>
      <c r="C1036" s="23" t="s">
        <v>620</v>
      </c>
      <c r="D1036" s="123">
        <f>SUMIF(B$3:B$3844,B1036,M$3:M$3844)/(SUMIF(B$3:B$3844,B1036,J$3:J$3844))</f>
        <v>0.72335604859089875</v>
      </c>
      <c r="E1036" s="23">
        <v>35233</v>
      </c>
      <c r="F1036" s="46" t="s">
        <v>662</v>
      </c>
      <c r="G1036" s="117"/>
      <c r="H1036" s="117"/>
      <c r="I1036" s="41"/>
      <c r="J1036" s="41">
        <v>460</v>
      </c>
      <c r="K1036" s="20">
        <v>2015</v>
      </c>
      <c r="L1036" s="20">
        <v>59.14</v>
      </c>
      <c r="M1036" s="110">
        <f>IF(L1036="",I1036,(MIN(J1036,(L1036*1.6*J1036))))</f>
        <v>460</v>
      </c>
      <c r="N1036" s="111">
        <f>IF(M1036=0,0,(M1036/J1036))</f>
        <v>1</v>
      </c>
    </row>
    <row r="1037" spans="2:14">
      <c r="B1037" s="72">
        <v>127591</v>
      </c>
      <c r="C1037" s="47" t="s">
        <v>620</v>
      </c>
      <c r="D1037" s="123">
        <f>SUMIF(B$3:B$3844,B1037,M$3:M$3844)/(SUMIF(B$3:B$3844,B1037,J$3:J$3844))</f>
        <v>0.72335604859089875</v>
      </c>
      <c r="E1037" s="47">
        <v>35082</v>
      </c>
      <c r="F1037" s="48" t="s">
        <v>663</v>
      </c>
      <c r="G1037" s="117"/>
      <c r="H1037" s="117"/>
      <c r="I1037" s="40"/>
      <c r="J1037" s="40">
        <v>1178</v>
      </c>
      <c r="K1037" s="20">
        <v>2015</v>
      </c>
      <c r="L1037" s="20">
        <v>59.14</v>
      </c>
      <c r="M1037" s="110">
        <f>IF(L1037="",I1037,(MIN(J1037,(L1037*1.6*J1037))))</f>
        <v>1178</v>
      </c>
      <c r="N1037" s="111">
        <f>IF(M1037=0,0,(M1037/J1037))</f>
        <v>1</v>
      </c>
    </row>
    <row r="1038" spans="2:14">
      <c r="B1038" s="73">
        <v>127591</v>
      </c>
      <c r="C1038" s="23" t="s">
        <v>620</v>
      </c>
      <c r="D1038" s="123">
        <f>SUMIF(B$3:B$3844,B1038,M$3:M$3844)/(SUMIF(B$3:B$3844,B1038,J$3:J$3844))</f>
        <v>0.72335604859089875</v>
      </c>
      <c r="E1038" s="23">
        <v>35139</v>
      </c>
      <c r="F1038" s="46" t="s">
        <v>664</v>
      </c>
      <c r="G1038" s="117"/>
      <c r="H1038" s="117"/>
      <c r="I1038" s="41"/>
      <c r="J1038" s="41">
        <v>460</v>
      </c>
      <c r="K1038" s="20">
        <v>2015</v>
      </c>
      <c r="L1038" s="20">
        <v>59.14</v>
      </c>
      <c r="M1038" s="110">
        <f>IF(L1038="",I1038,(MIN(J1038,(L1038*1.6*J1038))))</f>
        <v>460</v>
      </c>
      <c r="N1038" s="111">
        <f>IF(M1038=0,0,(M1038/J1038))</f>
        <v>1</v>
      </c>
    </row>
    <row r="1039" spans="2:14">
      <c r="B1039" s="72">
        <v>127591</v>
      </c>
      <c r="C1039" s="47" t="s">
        <v>620</v>
      </c>
      <c r="D1039" s="123">
        <f>SUMIF(B$3:B$3844,B1039,M$3:M$3844)/(SUMIF(B$3:B$3844,B1039,J$3:J$3844))</f>
        <v>0.72335604859089875</v>
      </c>
      <c r="E1039" s="47">
        <v>35056</v>
      </c>
      <c r="F1039" s="48" t="s">
        <v>665</v>
      </c>
      <c r="G1039" s="117"/>
      <c r="H1039" s="117"/>
      <c r="I1039" s="40"/>
      <c r="J1039" s="40">
        <v>364</v>
      </c>
      <c r="K1039" s="20">
        <v>2015</v>
      </c>
      <c r="L1039" s="20">
        <v>59.14</v>
      </c>
      <c r="M1039" s="110">
        <f>IF(L1039="",I1039,(MIN(J1039,(L1039*1.6*J1039))))</f>
        <v>364</v>
      </c>
      <c r="N1039" s="111">
        <f>IF(M1039=0,0,(M1039/J1039))</f>
        <v>1</v>
      </c>
    </row>
    <row r="1040" spans="2:14">
      <c r="B1040" s="73">
        <v>127591</v>
      </c>
      <c r="C1040" s="23" t="s">
        <v>620</v>
      </c>
      <c r="D1040" s="123">
        <f>SUMIF(B$3:B$3844,B1040,M$3:M$3844)/(SUMIF(B$3:B$3844,B1040,J$3:J$3844))</f>
        <v>0.72335604859089875</v>
      </c>
      <c r="E1040" s="23">
        <v>35062</v>
      </c>
      <c r="F1040" s="46" t="s">
        <v>666</v>
      </c>
      <c r="G1040" s="117"/>
      <c r="H1040" s="117"/>
      <c r="I1040" s="41"/>
      <c r="J1040" s="41">
        <v>125</v>
      </c>
      <c r="K1040" s="20">
        <v>2015</v>
      </c>
      <c r="L1040" s="20">
        <v>59.14</v>
      </c>
      <c r="M1040" s="110">
        <f>IF(L1040="",I1040,(MIN(J1040,(L1040*1.6*J1040))))</f>
        <v>125</v>
      </c>
      <c r="N1040" s="111">
        <f>IF(M1040=0,0,(M1040/J1040))</f>
        <v>1</v>
      </c>
    </row>
    <row r="1041" spans="2:14">
      <c r="B1041" s="72">
        <v>127591</v>
      </c>
      <c r="C1041" s="47" t="s">
        <v>620</v>
      </c>
      <c r="D1041" s="123">
        <f>SUMIF(B$3:B$3844,B1041,M$3:M$3844)/(SUMIF(B$3:B$3844,B1041,J$3:J$3844))</f>
        <v>0.72335604859089875</v>
      </c>
      <c r="E1041" s="47">
        <v>35120</v>
      </c>
      <c r="F1041" s="48" t="s">
        <v>667</v>
      </c>
      <c r="G1041" s="117"/>
      <c r="H1041" s="117"/>
      <c r="I1041" s="40"/>
      <c r="J1041" s="40">
        <v>528</v>
      </c>
      <c r="K1041" s="20">
        <v>2015</v>
      </c>
      <c r="L1041" s="20">
        <v>59.14</v>
      </c>
      <c r="M1041" s="110">
        <f>IF(L1041="",I1041,(MIN(J1041,(L1041*1.6*J1041))))</f>
        <v>528</v>
      </c>
      <c r="N1041" s="111">
        <f>IF(M1041=0,0,(M1041/J1041))</f>
        <v>1</v>
      </c>
    </row>
    <row r="1042" spans="2:14">
      <c r="B1042" s="73">
        <v>127591</v>
      </c>
      <c r="C1042" s="23" t="s">
        <v>620</v>
      </c>
      <c r="D1042" s="123">
        <f>SUMIF(B$3:B$3844,B1042,M$3:M$3844)/(SUMIF(B$3:B$3844,B1042,J$3:J$3844))</f>
        <v>0.72335604859089875</v>
      </c>
      <c r="E1042" s="23">
        <v>35221</v>
      </c>
      <c r="F1042" s="46" t="s">
        <v>668</v>
      </c>
      <c r="G1042" s="117"/>
      <c r="H1042" s="117"/>
      <c r="I1042" s="41">
        <v>263</v>
      </c>
      <c r="J1042" s="41">
        <v>797</v>
      </c>
      <c r="K1042" s="20"/>
      <c r="L1042" s="20"/>
      <c r="M1042" s="110">
        <f>IF(L1042="",I1042,(MIN(J1042,(L1042*1.6*J1042))))</f>
        <v>263</v>
      </c>
      <c r="N1042" s="111">
        <f>IF(M1042=0,0,(M1042/J1042))</f>
        <v>0.32998745294855708</v>
      </c>
    </row>
    <row r="1043" spans="2:14">
      <c r="B1043" s="72">
        <v>127591</v>
      </c>
      <c r="C1043" s="47" t="s">
        <v>620</v>
      </c>
      <c r="D1043" s="123">
        <f>SUMIF(B$3:B$3844,B1043,M$3:M$3844)/(SUMIF(B$3:B$3844,B1043,J$3:J$3844))</f>
        <v>0.72335604859089875</v>
      </c>
      <c r="E1043" s="47">
        <v>35086</v>
      </c>
      <c r="F1043" s="48" t="s">
        <v>669</v>
      </c>
      <c r="G1043" s="117"/>
      <c r="H1043" s="117"/>
      <c r="I1043" s="40"/>
      <c r="J1043" s="40">
        <v>741</v>
      </c>
      <c r="K1043" s="20">
        <v>2015</v>
      </c>
      <c r="L1043" s="20">
        <v>59.14</v>
      </c>
      <c r="M1043" s="110">
        <f>IF(L1043="",I1043,(MIN(J1043,(L1043*1.6*J1043))))</f>
        <v>741</v>
      </c>
      <c r="N1043" s="111">
        <f>IF(M1043=0,0,(M1043/J1043))</f>
        <v>1</v>
      </c>
    </row>
    <row r="1044" spans="2:14">
      <c r="B1044" s="73">
        <v>127591</v>
      </c>
      <c r="C1044" s="23" t="s">
        <v>620</v>
      </c>
      <c r="D1044" s="123">
        <f>SUMIF(B$3:B$3844,B1044,M$3:M$3844)/(SUMIF(B$3:B$3844,B1044,J$3:J$3844))</f>
        <v>0.72335604859089875</v>
      </c>
      <c r="E1044" s="23">
        <v>35029</v>
      </c>
      <c r="F1044" s="46" t="s">
        <v>670</v>
      </c>
      <c r="G1044" s="117"/>
      <c r="H1044" s="117"/>
      <c r="I1044" s="41">
        <v>215</v>
      </c>
      <c r="J1044" s="41">
        <v>695</v>
      </c>
      <c r="K1044" s="20"/>
      <c r="L1044" s="20"/>
      <c r="M1044" s="110">
        <f>IF(L1044="",I1044,(MIN(J1044,(L1044*1.6*J1044))))</f>
        <v>215</v>
      </c>
      <c r="N1044" s="111">
        <f>IF(M1044=0,0,(M1044/J1044))</f>
        <v>0.30935251798561153</v>
      </c>
    </row>
    <row r="1045" spans="2:14">
      <c r="B1045" s="72">
        <v>127591</v>
      </c>
      <c r="C1045" s="47" t="s">
        <v>620</v>
      </c>
      <c r="D1045" s="123">
        <f>SUMIF(B$3:B$3844,B1045,M$3:M$3844)/(SUMIF(B$3:B$3844,B1045,J$3:J$3844))</f>
        <v>0.72335604859089875</v>
      </c>
      <c r="E1045" s="47">
        <v>35041</v>
      </c>
      <c r="F1045" s="48" t="s">
        <v>671</v>
      </c>
      <c r="G1045" s="117"/>
      <c r="H1045" s="117"/>
      <c r="I1045" s="40"/>
      <c r="J1045" s="40">
        <v>259</v>
      </c>
      <c r="K1045" s="20">
        <v>2015</v>
      </c>
      <c r="L1045" s="20">
        <v>59.14</v>
      </c>
      <c r="M1045" s="110">
        <f>IF(L1045="",I1045,(MIN(J1045,(L1045*1.6*J1045))))</f>
        <v>259</v>
      </c>
      <c r="N1045" s="111">
        <f>IF(M1045=0,0,(M1045/J1045))</f>
        <v>1</v>
      </c>
    </row>
    <row r="1046" spans="2:14">
      <c r="B1046" s="73">
        <v>127591</v>
      </c>
      <c r="C1046" s="23" t="s">
        <v>620</v>
      </c>
      <c r="D1046" s="123">
        <f>SUMIF(B$3:B$3844,B1046,M$3:M$3844)/(SUMIF(B$3:B$3844,B1046,J$3:J$3844))</f>
        <v>0.72335604859089875</v>
      </c>
      <c r="E1046" s="23">
        <v>35143</v>
      </c>
      <c r="F1046" s="46" t="s">
        <v>672</v>
      </c>
      <c r="G1046" s="117"/>
      <c r="H1046" s="117"/>
      <c r="I1046" s="41"/>
      <c r="J1046" s="41">
        <v>481</v>
      </c>
      <c r="K1046" s="20">
        <v>2015</v>
      </c>
      <c r="L1046" s="20">
        <v>59.14</v>
      </c>
      <c r="M1046" s="110">
        <f>IF(L1046="",I1046,(MIN(J1046,(L1046*1.6*J1046))))</f>
        <v>481</v>
      </c>
      <c r="N1046" s="111">
        <f>IF(M1046=0,0,(M1046/J1046))</f>
        <v>1</v>
      </c>
    </row>
    <row r="1047" spans="2:14">
      <c r="B1047" s="72">
        <v>127591</v>
      </c>
      <c r="C1047" s="47" t="s">
        <v>620</v>
      </c>
      <c r="D1047" s="123">
        <f>SUMIF(B$3:B$3844,B1047,M$3:M$3844)/(SUMIF(B$3:B$3844,B1047,J$3:J$3844))</f>
        <v>0.72335604859089875</v>
      </c>
      <c r="E1047" s="47">
        <v>35138</v>
      </c>
      <c r="F1047" s="48" t="s">
        <v>673</v>
      </c>
      <c r="G1047" s="117"/>
      <c r="H1047" s="117"/>
      <c r="I1047" s="40"/>
      <c r="J1047" s="40">
        <v>822</v>
      </c>
      <c r="K1047" s="20">
        <v>2015</v>
      </c>
      <c r="L1047" s="20">
        <v>59.14</v>
      </c>
      <c r="M1047" s="110">
        <f>IF(L1047="",I1047,(MIN(J1047,(L1047*1.6*J1047))))</f>
        <v>822</v>
      </c>
      <c r="N1047" s="111">
        <f>IF(M1047=0,0,(M1047/J1047))</f>
        <v>1</v>
      </c>
    </row>
    <row r="1048" spans="2:14">
      <c r="B1048" s="73">
        <v>127591</v>
      </c>
      <c r="C1048" s="23" t="s">
        <v>620</v>
      </c>
      <c r="D1048" s="123">
        <f>SUMIF(B$3:B$3844,B1048,M$3:M$3844)/(SUMIF(B$3:B$3844,B1048,J$3:J$3844))</f>
        <v>0.72335604859089875</v>
      </c>
      <c r="E1048" s="23">
        <v>35113</v>
      </c>
      <c r="F1048" s="46" t="s">
        <v>674</v>
      </c>
      <c r="G1048" s="117"/>
      <c r="H1048" s="117"/>
      <c r="I1048" s="41"/>
      <c r="J1048" s="41">
        <v>337</v>
      </c>
      <c r="K1048" s="20">
        <v>2015</v>
      </c>
      <c r="L1048" s="20">
        <v>59.14</v>
      </c>
      <c r="M1048" s="110">
        <f>IF(L1048="",I1048,(MIN(J1048,(L1048*1.6*J1048))))</f>
        <v>337</v>
      </c>
      <c r="N1048" s="111">
        <f>IF(M1048=0,0,(M1048/J1048))</f>
        <v>1</v>
      </c>
    </row>
    <row r="1049" spans="2:14">
      <c r="B1049" s="72">
        <v>127591</v>
      </c>
      <c r="C1049" s="47" t="s">
        <v>620</v>
      </c>
      <c r="D1049" s="123">
        <f>SUMIF(B$3:B$3844,B1049,M$3:M$3844)/(SUMIF(B$3:B$3844,B1049,J$3:J$3844))</f>
        <v>0.72335604859089875</v>
      </c>
      <c r="E1049" s="47">
        <v>35123</v>
      </c>
      <c r="F1049" s="48" t="s">
        <v>675</v>
      </c>
      <c r="G1049" s="117"/>
      <c r="H1049" s="117"/>
      <c r="I1049" s="40"/>
      <c r="J1049" s="40">
        <v>616</v>
      </c>
      <c r="K1049" s="20">
        <v>2015</v>
      </c>
      <c r="L1049" s="20">
        <v>59.14</v>
      </c>
      <c r="M1049" s="110">
        <f>IF(L1049="",I1049,(MIN(J1049,(L1049*1.6*J1049))))</f>
        <v>616</v>
      </c>
      <c r="N1049" s="111">
        <f>IF(M1049=0,0,(M1049/J1049))</f>
        <v>1</v>
      </c>
    </row>
    <row r="1050" spans="2:14">
      <c r="B1050" s="73">
        <v>127591</v>
      </c>
      <c r="C1050" s="23" t="s">
        <v>620</v>
      </c>
      <c r="D1050" s="123">
        <f>SUMIF(B$3:B$3844,B1050,M$3:M$3844)/(SUMIF(B$3:B$3844,B1050,J$3:J$3844))</f>
        <v>0.72335604859089875</v>
      </c>
      <c r="E1050" s="23">
        <v>17004278</v>
      </c>
      <c r="F1050" s="46" t="s">
        <v>676</v>
      </c>
      <c r="G1050" s="117"/>
      <c r="H1050" s="117"/>
      <c r="I1050" s="41">
        <v>39</v>
      </c>
      <c r="J1050" s="41">
        <v>114</v>
      </c>
      <c r="K1050" s="20"/>
      <c r="L1050" s="20"/>
      <c r="M1050" s="110">
        <f>IF(L1050="",I1050,(MIN(J1050,(L1050*1.6*J1050))))</f>
        <v>39</v>
      </c>
      <c r="N1050" s="111">
        <f>IF(M1050=0,0,(M1050/J1050))</f>
        <v>0.34210526315789475</v>
      </c>
    </row>
    <row r="1051" spans="2:14">
      <c r="B1051" s="72">
        <v>127591</v>
      </c>
      <c r="C1051" s="47" t="s">
        <v>620</v>
      </c>
      <c r="D1051" s="123">
        <f>SUMIF(B$3:B$3844,B1051,M$3:M$3844)/(SUMIF(B$3:B$3844,B1051,J$3:J$3844))</f>
        <v>0.72335604859089875</v>
      </c>
      <c r="E1051" s="47">
        <v>35081</v>
      </c>
      <c r="F1051" s="48" t="s">
        <v>677</v>
      </c>
      <c r="G1051" s="117"/>
      <c r="H1051" s="117"/>
      <c r="I1051" s="40"/>
      <c r="J1051" s="40">
        <v>529</v>
      </c>
      <c r="K1051" s="20">
        <v>2015</v>
      </c>
      <c r="L1051" s="20">
        <v>59.14</v>
      </c>
      <c r="M1051" s="110">
        <f>IF(L1051="",I1051,(MIN(J1051,(L1051*1.6*J1051))))</f>
        <v>529</v>
      </c>
      <c r="N1051" s="111">
        <f>IF(M1051=0,0,(M1051/J1051))</f>
        <v>1</v>
      </c>
    </row>
    <row r="1052" spans="2:14">
      <c r="B1052" s="73">
        <v>127591</v>
      </c>
      <c r="C1052" s="23" t="s">
        <v>620</v>
      </c>
      <c r="D1052" s="123">
        <f>SUMIF(B$3:B$3844,B1052,M$3:M$3844)/(SUMIF(B$3:B$3844,B1052,J$3:J$3844))</f>
        <v>0.72335604859089875</v>
      </c>
      <c r="E1052" s="23">
        <v>35001</v>
      </c>
      <c r="F1052" s="46" t="s">
        <v>678</v>
      </c>
      <c r="G1052" s="117"/>
      <c r="H1052" s="117"/>
      <c r="I1052" s="41"/>
      <c r="J1052" s="41">
        <v>436</v>
      </c>
      <c r="K1052" s="20">
        <v>2015</v>
      </c>
      <c r="L1052" s="20">
        <v>59.14</v>
      </c>
      <c r="M1052" s="110">
        <f>IF(L1052="",I1052,(MIN(J1052,(L1052*1.6*J1052))))</f>
        <v>436</v>
      </c>
      <c r="N1052" s="111">
        <f>IF(M1052=0,0,(M1052/J1052))</f>
        <v>1</v>
      </c>
    </row>
    <row r="1053" spans="2:14">
      <c r="B1053" s="72">
        <v>127591</v>
      </c>
      <c r="C1053" s="47" t="s">
        <v>620</v>
      </c>
      <c r="D1053" s="123">
        <f>SUMIF(B$3:B$3844,B1053,M$3:M$3844)/(SUMIF(B$3:B$3844,B1053,J$3:J$3844))</f>
        <v>0.72335604859089875</v>
      </c>
      <c r="E1053" s="47">
        <v>35009</v>
      </c>
      <c r="F1053" s="48" t="s">
        <v>679</v>
      </c>
      <c r="G1053" s="117"/>
      <c r="H1053" s="117"/>
      <c r="I1053" s="40">
        <v>97</v>
      </c>
      <c r="J1053" s="40">
        <v>584</v>
      </c>
      <c r="K1053" s="20"/>
      <c r="L1053" s="20"/>
      <c r="M1053" s="110">
        <f>IF(L1053="",I1053,(MIN(J1053,(L1053*1.6*J1053))))</f>
        <v>97</v>
      </c>
      <c r="N1053" s="111">
        <f>IF(M1053=0,0,(M1053/J1053))</f>
        <v>0.1660958904109589</v>
      </c>
    </row>
    <row r="1054" spans="2:14">
      <c r="B1054" s="73">
        <v>127591</v>
      </c>
      <c r="C1054" s="23" t="s">
        <v>620</v>
      </c>
      <c r="D1054" s="123">
        <f>SUMIF(B$3:B$3844,B1054,M$3:M$3844)/(SUMIF(B$3:B$3844,B1054,J$3:J$3844))</f>
        <v>0.72335604859089875</v>
      </c>
      <c r="E1054" s="23">
        <v>35095</v>
      </c>
      <c r="F1054" s="46" t="s">
        <v>680</v>
      </c>
      <c r="G1054" s="117"/>
      <c r="H1054" s="117"/>
      <c r="I1054" s="41"/>
      <c r="J1054" s="41">
        <v>596</v>
      </c>
      <c r="K1054" s="20">
        <v>2015</v>
      </c>
      <c r="L1054" s="20">
        <v>59.14</v>
      </c>
      <c r="M1054" s="110">
        <f>IF(L1054="",I1054,(MIN(J1054,(L1054*1.6*J1054))))</f>
        <v>596</v>
      </c>
      <c r="N1054" s="111">
        <f>IF(M1054=0,0,(M1054/J1054))</f>
        <v>1</v>
      </c>
    </row>
    <row r="1055" spans="2:14">
      <c r="B1055" s="72">
        <v>127591</v>
      </c>
      <c r="C1055" s="47" t="s">
        <v>620</v>
      </c>
      <c r="D1055" s="123">
        <f>SUMIF(B$3:B$3844,B1055,M$3:M$3844)/(SUMIF(B$3:B$3844,B1055,J$3:J$3844))</f>
        <v>0.72335604859089875</v>
      </c>
      <c r="E1055" s="47">
        <v>35191</v>
      </c>
      <c r="F1055" s="48" t="s">
        <v>681</v>
      </c>
      <c r="G1055" s="117"/>
      <c r="H1055" s="117"/>
      <c r="I1055" s="40">
        <v>44</v>
      </c>
      <c r="J1055" s="40">
        <v>598</v>
      </c>
      <c r="K1055" s="20"/>
      <c r="L1055" s="20"/>
      <c r="M1055" s="110">
        <f>IF(L1055="",I1055,(MIN(J1055,(L1055*1.6*J1055))))</f>
        <v>44</v>
      </c>
      <c r="N1055" s="111">
        <f>IF(M1055=0,0,(M1055/J1055))</f>
        <v>7.3578595317725759E-2</v>
      </c>
    </row>
    <row r="1056" spans="2:14">
      <c r="B1056" s="73">
        <v>127591</v>
      </c>
      <c r="C1056" s="23" t="s">
        <v>620</v>
      </c>
      <c r="D1056" s="123">
        <f>SUMIF(B$3:B$3844,B1056,M$3:M$3844)/(SUMIF(B$3:B$3844,B1056,J$3:J$3844))</f>
        <v>0.72335604859089875</v>
      </c>
      <c r="E1056" s="23">
        <v>35174</v>
      </c>
      <c r="F1056" s="46" t="s">
        <v>682</v>
      </c>
      <c r="G1056" s="117"/>
      <c r="H1056" s="117"/>
      <c r="I1056" s="41"/>
      <c r="J1056" s="41">
        <v>589</v>
      </c>
      <c r="K1056" s="20">
        <v>2015</v>
      </c>
      <c r="L1056" s="20">
        <v>59.14</v>
      </c>
      <c r="M1056" s="110">
        <f>IF(L1056="",I1056,(MIN(J1056,(L1056*1.6*J1056))))</f>
        <v>589</v>
      </c>
      <c r="N1056" s="111">
        <f>IF(M1056=0,0,(M1056/J1056))</f>
        <v>1</v>
      </c>
    </row>
    <row r="1057" spans="2:14" ht="30">
      <c r="B1057" s="72">
        <v>127591</v>
      </c>
      <c r="C1057" s="47" t="s">
        <v>620</v>
      </c>
      <c r="D1057" s="123">
        <f>SUMIF(B$3:B$3844,B1057,M$3:M$3844)/(SUMIF(B$3:B$3844,B1057,J$3:J$3844))</f>
        <v>0.72335604859089875</v>
      </c>
      <c r="E1057" s="47">
        <v>35067</v>
      </c>
      <c r="F1057" s="48" t="s">
        <v>683</v>
      </c>
      <c r="G1057" s="117"/>
      <c r="H1057" s="117"/>
      <c r="I1057" s="40"/>
      <c r="J1057" s="40">
        <v>412</v>
      </c>
      <c r="K1057" s="20">
        <v>2015</v>
      </c>
      <c r="L1057" s="20">
        <v>59.14</v>
      </c>
      <c r="M1057" s="110">
        <f>IF(L1057="",I1057,(MIN(J1057,(L1057*1.6*J1057))))</f>
        <v>412</v>
      </c>
      <c r="N1057" s="111">
        <f>IF(M1057=0,0,(M1057/J1057))</f>
        <v>1</v>
      </c>
    </row>
    <row r="1058" spans="2:14" ht="30">
      <c r="B1058" s="73">
        <v>127591</v>
      </c>
      <c r="C1058" s="23" t="s">
        <v>620</v>
      </c>
      <c r="D1058" s="123">
        <f>SUMIF(B$3:B$3844,B1058,M$3:M$3844)/(SUMIF(B$3:B$3844,B1058,J$3:J$3844))</f>
        <v>0.72335604859089875</v>
      </c>
      <c r="E1058" s="23">
        <v>16067853</v>
      </c>
      <c r="F1058" s="46" t="s">
        <v>684</v>
      </c>
      <c r="G1058" s="117"/>
      <c r="H1058" s="117"/>
      <c r="I1058" s="41">
        <v>241</v>
      </c>
      <c r="J1058" s="41">
        <v>1015</v>
      </c>
      <c r="K1058" s="20"/>
      <c r="L1058" s="20"/>
      <c r="M1058" s="110">
        <f>IF(L1058="",I1058,(MIN(J1058,(L1058*1.6*J1058))))</f>
        <v>241</v>
      </c>
      <c r="N1058" s="111">
        <f>IF(M1058=0,0,(M1058/J1058))</f>
        <v>0.2374384236453202</v>
      </c>
    </row>
    <row r="1059" spans="2:14">
      <c r="B1059" s="72">
        <v>127591</v>
      </c>
      <c r="C1059" s="47" t="s">
        <v>620</v>
      </c>
      <c r="D1059" s="123">
        <f>SUMIF(B$3:B$3844,B1059,M$3:M$3844)/(SUMIF(B$3:B$3844,B1059,J$3:J$3844))</f>
        <v>0.72335604859089875</v>
      </c>
      <c r="E1059" s="47">
        <v>35045</v>
      </c>
      <c r="F1059" s="48" t="s">
        <v>685</v>
      </c>
      <c r="G1059" s="117"/>
      <c r="H1059" s="117"/>
      <c r="I1059" s="40"/>
      <c r="J1059" s="40">
        <v>1256</v>
      </c>
      <c r="K1059" s="20">
        <v>2015</v>
      </c>
      <c r="L1059" s="20">
        <v>59.14</v>
      </c>
      <c r="M1059" s="110">
        <f>IF(L1059="",I1059,(MIN(J1059,(L1059*1.6*J1059))))</f>
        <v>1256</v>
      </c>
      <c r="N1059" s="111">
        <f>IF(M1059=0,0,(M1059/J1059))</f>
        <v>1</v>
      </c>
    </row>
    <row r="1060" spans="2:14">
      <c r="B1060" s="73">
        <v>127591</v>
      </c>
      <c r="C1060" s="23" t="s">
        <v>620</v>
      </c>
      <c r="D1060" s="123">
        <f>SUMIF(B$3:B$3844,B1060,M$3:M$3844)/(SUMIF(B$3:B$3844,B1060,J$3:J$3844))</f>
        <v>0.72335604859089875</v>
      </c>
      <c r="E1060" s="23">
        <v>35043</v>
      </c>
      <c r="F1060" s="46" t="s">
        <v>686</v>
      </c>
      <c r="G1060" s="117"/>
      <c r="H1060" s="117"/>
      <c r="I1060" s="41"/>
      <c r="J1060" s="41">
        <v>602</v>
      </c>
      <c r="K1060" s="20">
        <v>2015</v>
      </c>
      <c r="L1060" s="20">
        <v>59.14</v>
      </c>
      <c r="M1060" s="110">
        <f>IF(L1060="",I1060,(MIN(J1060,(L1060*1.6*J1060))))</f>
        <v>602</v>
      </c>
      <c r="N1060" s="111">
        <f>IF(M1060=0,0,(M1060/J1060))</f>
        <v>1</v>
      </c>
    </row>
    <row r="1061" spans="2:14">
      <c r="B1061" s="72">
        <v>127591</v>
      </c>
      <c r="C1061" s="47" t="s">
        <v>620</v>
      </c>
      <c r="D1061" s="123">
        <f>SUMIF(B$3:B$3844,B1061,M$3:M$3844)/(SUMIF(B$3:B$3844,B1061,J$3:J$3844))</f>
        <v>0.72335604859089875</v>
      </c>
      <c r="E1061" s="47">
        <v>35090</v>
      </c>
      <c r="F1061" s="48" t="s">
        <v>687</v>
      </c>
      <c r="G1061" s="117"/>
      <c r="H1061" s="117"/>
      <c r="I1061" s="40"/>
      <c r="J1061" s="40">
        <v>968</v>
      </c>
      <c r="K1061" s="20">
        <v>2015</v>
      </c>
      <c r="L1061" s="20">
        <v>59.14</v>
      </c>
      <c r="M1061" s="110">
        <f>IF(L1061="",I1061,(MIN(J1061,(L1061*1.6*J1061))))</f>
        <v>968</v>
      </c>
      <c r="N1061" s="111">
        <f>IF(M1061=0,0,(M1061/J1061))</f>
        <v>1</v>
      </c>
    </row>
    <row r="1062" spans="2:14">
      <c r="B1062" s="73">
        <v>127591</v>
      </c>
      <c r="C1062" s="23" t="s">
        <v>620</v>
      </c>
      <c r="D1062" s="123">
        <f>SUMIF(B$3:B$3844,B1062,M$3:M$3844)/(SUMIF(B$3:B$3844,B1062,J$3:J$3844))</f>
        <v>0.72335604859089875</v>
      </c>
      <c r="E1062" s="23">
        <v>35071</v>
      </c>
      <c r="F1062" s="46" t="s">
        <v>688</v>
      </c>
      <c r="G1062" s="117"/>
      <c r="H1062" s="117"/>
      <c r="I1062" s="41"/>
      <c r="J1062" s="41">
        <v>625</v>
      </c>
      <c r="K1062" s="20">
        <v>2015</v>
      </c>
      <c r="L1062" s="20">
        <v>59.14</v>
      </c>
      <c r="M1062" s="110">
        <f>IF(L1062="",I1062,(MIN(J1062,(L1062*1.6*J1062))))</f>
        <v>625</v>
      </c>
      <c r="N1062" s="111">
        <f>IF(M1062=0,0,(M1062/J1062))</f>
        <v>1</v>
      </c>
    </row>
    <row r="1063" spans="2:14">
      <c r="B1063" s="72">
        <v>127591</v>
      </c>
      <c r="C1063" s="47" t="s">
        <v>620</v>
      </c>
      <c r="D1063" s="123">
        <f>SUMIF(B$3:B$3844,B1063,M$3:M$3844)/(SUMIF(B$3:B$3844,B1063,J$3:J$3844))</f>
        <v>0.72335604859089875</v>
      </c>
      <c r="E1063" s="47">
        <v>35012</v>
      </c>
      <c r="F1063" s="48" t="s">
        <v>689</v>
      </c>
      <c r="G1063" s="117"/>
      <c r="H1063" s="117"/>
      <c r="I1063" s="40"/>
      <c r="J1063" s="40">
        <v>234</v>
      </c>
      <c r="K1063" s="20">
        <v>2015</v>
      </c>
      <c r="L1063" s="20">
        <v>59.14</v>
      </c>
      <c r="M1063" s="110">
        <f>IF(L1063="",I1063,(MIN(J1063,(L1063*1.6*J1063))))</f>
        <v>234</v>
      </c>
      <c r="N1063" s="111">
        <f>IF(M1063=0,0,(M1063/J1063))</f>
        <v>1</v>
      </c>
    </row>
    <row r="1064" spans="2:14">
      <c r="B1064" s="73">
        <v>127591</v>
      </c>
      <c r="C1064" s="23" t="s">
        <v>620</v>
      </c>
      <c r="D1064" s="123">
        <f>SUMIF(B$3:B$3844,B1064,M$3:M$3844)/(SUMIF(B$3:B$3844,B1064,J$3:J$3844))</f>
        <v>0.72335604859089875</v>
      </c>
      <c r="E1064" s="23">
        <v>35096</v>
      </c>
      <c r="F1064" s="46" t="s">
        <v>690</v>
      </c>
      <c r="G1064" s="117"/>
      <c r="H1064" s="117"/>
      <c r="I1064" s="41">
        <v>133</v>
      </c>
      <c r="J1064" s="41">
        <v>501</v>
      </c>
      <c r="K1064" s="20"/>
      <c r="L1064" s="20"/>
      <c r="M1064" s="110">
        <f>IF(L1064="",I1064,(MIN(J1064,(L1064*1.6*J1064))))</f>
        <v>133</v>
      </c>
      <c r="N1064" s="111">
        <f>IF(M1064=0,0,(M1064/J1064))</f>
        <v>0.26546906187624753</v>
      </c>
    </row>
    <row r="1065" spans="2:14">
      <c r="B1065" s="72">
        <v>127591</v>
      </c>
      <c r="C1065" s="47" t="s">
        <v>620</v>
      </c>
      <c r="D1065" s="123">
        <f>SUMIF(B$3:B$3844,B1065,M$3:M$3844)/(SUMIF(B$3:B$3844,B1065,J$3:J$3844))</f>
        <v>0.72335604859089875</v>
      </c>
      <c r="E1065" s="47">
        <v>35166</v>
      </c>
      <c r="F1065" s="48" t="s">
        <v>691</v>
      </c>
      <c r="G1065" s="117"/>
      <c r="H1065" s="117"/>
      <c r="I1065" s="40">
        <v>146</v>
      </c>
      <c r="J1065" s="40">
        <v>430</v>
      </c>
      <c r="K1065" s="20"/>
      <c r="L1065" s="20"/>
      <c r="M1065" s="110">
        <f>IF(L1065="",I1065,(MIN(J1065,(L1065*1.6*J1065))))</f>
        <v>146</v>
      </c>
      <c r="N1065" s="111">
        <f>IF(M1065=0,0,(M1065/J1065))</f>
        <v>0.33953488372093021</v>
      </c>
    </row>
    <row r="1066" spans="2:14">
      <c r="B1066" s="73">
        <v>127591</v>
      </c>
      <c r="C1066" s="23" t="s">
        <v>620</v>
      </c>
      <c r="D1066" s="123">
        <f>SUMIF(B$3:B$3844,B1066,M$3:M$3844)/(SUMIF(B$3:B$3844,B1066,J$3:J$3844))</f>
        <v>0.72335604859089875</v>
      </c>
      <c r="E1066" s="23">
        <v>35151</v>
      </c>
      <c r="F1066" s="46" t="s">
        <v>692</v>
      </c>
      <c r="G1066" s="117"/>
      <c r="H1066" s="117"/>
      <c r="I1066" s="41"/>
      <c r="J1066" s="41">
        <v>790</v>
      </c>
      <c r="K1066" s="20">
        <v>2015</v>
      </c>
      <c r="L1066" s="20">
        <v>59.14</v>
      </c>
      <c r="M1066" s="110">
        <f>IF(L1066="",I1066,(MIN(J1066,(L1066*1.6*J1066))))</f>
        <v>790</v>
      </c>
      <c r="N1066" s="111">
        <f>IF(M1066=0,0,(M1066/J1066))</f>
        <v>1</v>
      </c>
    </row>
    <row r="1067" spans="2:14" ht="30">
      <c r="B1067" s="72">
        <v>127591</v>
      </c>
      <c r="C1067" s="47" t="s">
        <v>620</v>
      </c>
      <c r="D1067" s="123">
        <f>SUMIF(B$3:B$3844,B1067,M$3:M$3844)/(SUMIF(B$3:B$3844,B1067,J$3:J$3844))</f>
        <v>0.72335604859089875</v>
      </c>
      <c r="E1067" s="47">
        <v>35025</v>
      </c>
      <c r="F1067" s="48" t="s">
        <v>693</v>
      </c>
      <c r="G1067" s="117"/>
      <c r="H1067" s="117"/>
      <c r="I1067" s="40">
        <v>155</v>
      </c>
      <c r="J1067" s="40">
        <v>750</v>
      </c>
      <c r="K1067" s="20"/>
      <c r="L1067" s="20"/>
      <c r="M1067" s="110">
        <f>IF(L1067="",I1067,(MIN(J1067,(L1067*1.6*J1067))))</f>
        <v>155</v>
      </c>
      <c r="N1067" s="111">
        <f>IF(M1067=0,0,(M1067/J1067))</f>
        <v>0.20666666666666667</v>
      </c>
    </row>
    <row r="1068" spans="2:14">
      <c r="B1068" s="73">
        <v>127591</v>
      </c>
      <c r="C1068" s="23" t="s">
        <v>620</v>
      </c>
      <c r="D1068" s="123">
        <f>SUMIF(B$3:B$3844,B1068,M$3:M$3844)/(SUMIF(B$3:B$3844,B1068,J$3:J$3844))</f>
        <v>0.72335604859089875</v>
      </c>
      <c r="E1068" s="23">
        <v>235337</v>
      </c>
      <c r="F1068" s="46" t="s">
        <v>694</v>
      </c>
      <c r="G1068" s="117"/>
      <c r="H1068" s="117"/>
      <c r="I1068" s="41">
        <v>563</v>
      </c>
      <c r="J1068" s="41">
        <v>1168</v>
      </c>
      <c r="K1068" s="20"/>
      <c r="L1068" s="20"/>
      <c r="M1068" s="110">
        <f>IF(L1068="",I1068,(MIN(J1068,(L1068*1.6*J1068))))</f>
        <v>563</v>
      </c>
      <c r="N1068" s="111">
        <f>IF(M1068=0,0,(M1068/J1068))</f>
        <v>0.48202054794520549</v>
      </c>
    </row>
    <row r="1069" spans="2:14">
      <c r="B1069" s="72">
        <v>127591</v>
      </c>
      <c r="C1069" s="47" t="s">
        <v>620</v>
      </c>
      <c r="D1069" s="123">
        <f>SUMIF(B$3:B$3844,B1069,M$3:M$3844)/(SUMIF(B$3:B$3844,B1069,J$3:J$3844))</f>
        <v>0.72335604859089875</v>
      </c>
      <c r="E1069" s="47">
        <v>235336</v>
      </c>
      <c r="F1069" s="48" t="s">
        <v>695</v>
      </c>
      <c r="G1069" s="117"/>
      <c r="H1069" s="117"/>
      <c r="I1069" s="40"/>
      <c r="J1069" s="40">
        <v>684</v>
      </c>
      <c r="K1069" s="20">
        <v>2015</v>
      </c>
      <c r="L1069" s="20">
        <v>59.14</v>
      </c>
      <c r="M1069" s="110">
        <f>IF(L1069="",I1069,(MIN(J1069,(L1069*1.6*J1069))))</f>
        <v>684</v>
      </c>
      <c r="N1069" s="111">
        <f>IF(M1069=0,0,(M1069/J1069))</f>
        <v>1</v>
      </c>
    </row>
    <row r="1070" spans="2:14">
      <c r="B1070" s="73">
        <v>127591</v>
      </c>
      <c r="C1070" s="23" t="s">
        <v>620</v>
      </c>
      <c r="D1070" s="123">
        <f>SUMIF(B$3:B$3844,B1070,M$3:M$3844)/(SUMIF(B$3:B$3844,B1070,J$3:J$3844))</f>
        <v>0.72335604859089875</v>
      </c>
      <c r="E1070" s="23">
        <v>35131</v>
      </c>
      <c r="F1070" s="46" t="s">
        <v>696</v>
      </c>
      <c r="G1070" s="117"/>
      <c r="H1070" s="117"/>
      <c r="I1070" s="41"/>
      <c r="J1070" s="41">
        <v>435</v>
      </c>
      <c r="K1070" s="20">
        <v>2015</v>
      </c>
      <c r="L1070" s="20">
        <v>59.14</v>
      </c>
      <c r="M1070" s="110">
        <f>IF(L1070="",I1070,(MIN(J1070,(L1070*1.6*J1070))))</f>
        <v>435</v>
      </c>
      <c r="N1070" s="111">
        <f>IF(M1070=0,0,(M1070/J1070))</f>
        <v>1</v>
      </c>
    </row>
    <row r="1071" spans="2:14">
      <c r="B1071" s="72">
        <v>127591</v>
      </c>
      <c r="C1071" s="47" t="s">
        <v>620</v>
      </c>
      <c r="D1071" s="123">
        <f>SUMIF(B$3:B$3844,B1071,M$3:M$3844)/(SUMIF(B$3:B$3844,B1071,J$3:J$3844))</f>
        <v>0.72335604859089875</v>
      </c>
      <c r="E1071" s="47">
        <v>35011</v>
      </c>
      <c r="F1071" s="48" t="s">
        <v>697</v>
      </c>
      <c r="G1071" s="117"/>
      <c r="H1071" s="117"/>
      <c r="I1071" s="40">
        <v>363</v>
      </c>
      <c r="J1071" s="40">
        <v>889</v>
      </c>
      <c r="K1071" s="20"/>
      <c r="L1071" s="20"/>
      <c r="M1071" s="110">
        <f>IF(L1071="",I1071,(MIN(J1071,(L1071*1.6*J1071))))</f>
        <v>363</v>
      </c>
      <c r="N1071" s="111">
        <f>IF(M1071=0,0,(M1071/J1071))</f>
        <v>0.40832395950506184</v>
      </c>
    </row>
    <row r="1072" spans="2:14">
      <c r="B1072" s="73">
        <v>127591</v>
      </c>
      <c r="C1072" s="23" t="s">
        <v>620</v>
      </c>
      <c r="D1072" s="123">
        <f>SUMIF(B$3:B$3844,B1072,M$3:M$3844)/(SUMIF(B$3:B$3844,B1072,J$3:J$3844))</f>
        <v>0.72335604859089875</v>
      </c>
      <c r="E1072" s="23">
        <v>35048</v>
      </c>
      <c r="F1072" s="46" t="s">
        <v>109</v>
      </c>
      <c r="G1072" s="117"/>
      <c r="H1072" s="117"/>
      <c r="I1072" s="41"/>
      <c r="J1072" s="41">
        <v>433</v>
      </c>
      <c r="K1072" s="20">
        <v>2015</v>
      </c>
      <c r="L1072" s="20">
        <v>59.14</v>
      </c>
      <c r="M1072" s="110">
        <f>IF(L1072="",I1072,(MIN(J1072,(L1072*1.6*J1072))))</f>
        <v>433</v>
      </c>
      <c r="N1072" s="111">
        <f>IF(M1072=0,0,(M1072/J1072))</f>
        <v>1</v>
      </c>
    </row>
    <row r="1073" spans="2:14">
      <c r="B1073" s="72">
        <v>127591</v>
      </c>
      <c r="C1073" s="47" t="s">
        <v>620</v>
      </c>
      <c r="D1073" s="123">
        <f>SUMIF(B$3:B$3844,B1073,M$3:M$3844)/(SUMIF(B$3:B$3844,B1073,J$3:J$3844))</f>
        <v>0.72335604859089875</v>
      </c>
      <c r="E1073" s="47">
        <v>35238</v>
      </c>
      <c r="F1073" s="48" t="s">
        <v>698</v>
      </c>
      <c r="G1073" s="117"/>
      <c r="H1073" s="117"/>
      <c r="I1073" s="40"/>
      <c r="J1073" s="40">
        <v>401</v>
      </c>
      <c r="K1073" s="20">
        <v>2015</v>
      </c>
      <c r="L1073" s="20">
        <v>59.14</v>
      </c>
      <c r="M1073" s="110">
        <f>IF(L1073="",I1073,(MIN(J1073,(L1073*1.6*J1073))))</f>
        <v>401</v>
      </c>
      <c r="N1073" s="111">
        <f>IF(M1073=0,0,(M1073/J1073))</f>
        <v>1</v>
      </c>
    </row>
    <row r="1074" spans="2:14">
      <c r="B1074" s="73">
        <v>127591</v>
      </c>
      <c r="C1074" s="23" t="s">
        <v>620</v>
      </c>
      <c r="D1074" s="123">
        <f>SUMIF(B$3:B$3844,B1074,M$3:M$3844)/(SUMIF(B$3:B$3844,B1074,J$3:J$3844))</f>
        <v>0.72335604859089875</v>
      </c>
      <c r="E1074" s="23">
        <v>35088</v>
      </c>
      <c r="F1074" s="46" t="s">
        <v>699</v>
      </c>
      <c r="G1074" s="117"/>
      <c r="H1074" s="117"/>
      <c r="I1074" s="41"/>
      <c r="J1074" s="41">
        <v>1164</v>
      </c>
      <c r="K1074" s="20">
        <v>2015</v>
      </c>
      <c r="L1074" s="20">
        <v>59.14</v>
      </c>
      <c r="M1074" s="110">
        <f>IF(L1074="",I1074,(MIN(J1074,(L1074*1.6*J1074))))</f>
        <v>1164</v>
      </c>
      <c r="N1074" s="111">
        <f>IF(M1074=0,0,(M1074/J1074))</f>
        <v>1</v>
      </c>
    </row>
    <row r="1075" spans="2:14">
      <c r="B1075" s="72">
        <v>127591</v>
      </c>
      <c r="C1075" s="47" t="s">
        <v>620</v>
      </c>
      <c r="D1075" s="123">
        <f>SUMIF(B$3:B$3844,B1075,M$3:M$3844)/(SUMIF(B$3:B$3844,B1075,J$3:J$3844))</f>
        <v>0.72335604859089875</v>
      </c>
      <c r="E1075" s="47">
        <v>35158</v>
      </c>
      <c r="F1075" s="48" t="s">
        <v>700</v>
      </c>
      <c r="G1075" s="117"/>
      <c r="H1075" s="117"/>
      <c r="I1075" s="40">
        <v>647</v>
      </c>
      <c r="J1075" s="40">
        <v>1243</v>
      </c>
      <c r="K1075" s="20"/>
      <c r="L1075" s="20"/>
      <c r="M1075" s="110">
        <f>IF(L1075="",I1075,(MIN(J1075,(L1075*1.6*J1075))))</f>
        <v>647</v>
      </c>
      <c r="N1075" s="111">
        <f>IF(M1075=0,0,(M1075/J1075))</f>
        <v>0.52051488334674179</v>
      </c>
    </row>
    <row r="1076" spans="2:14">
      <c r="B1076" s="73">
        <v>127591</v>
      </c>
      <c r="C1076" s="23" t="s">
        <v>620</v>
      </c>
      <c r="D1076" s="123">
        <f>SUMIF(B$3:B$3844,B1076,M$3:M$3844)/(SUMIF(B$3:B$3844,B1076,J$3:J$3844))</f>
        <v>0.72335604859089875</v>
      </c>
      <c r="E1076" s="23">
        <v>228293</v>
      </c>
      <c r="F1076" s="46" t="s">
        <v>701</v>
      </c>
      <c r="G1076" s="117"/>
      <c r="H1076" s="117"/>
      <c r="I1076" s="41">
        <v>363</v>
      </c>
      <c r="J1076" s="41">
        <v>1080</v>
      </c>
      <c r="K1076" s="20"/>
      <c r="L1076" s="20"/>
      <c r="M1076" s="110">
        <f>IF(L1076="",I1076,(MIN(J1076,(L1076*1.6*J1076))))</f>
        <v>363</v>
      </c>
      <c r="N1076" s="111">
        <f>IF(M1076=0,0,(M1076/J1076))</f>
        <v>0.33611111111111114</v>
      </c>
    </row>
    <row r="1077" spans="2:14">
      <c r="B1077" s="72">
        <v>127591</v>
      </c>
      <c r="C1077" s="47" t="s">
        <v>620</v>
      </c>
      <c r="D1077" s="123">
        <f>SUMIF(B$3:B$3844,B1077,M$3:M$3844)/(SUMIF(B$3:B$3844,B1077,J$3:J$3844))</f>
        <v>0.72335604859089875</v>
      </c>
      <c r="E1077" s="47">
        <v>35160</v>
      </c>
      <c r="F1077" s="48" t="s">
        <v>702</v>
      </c>
      <c r="G1077" s="117"/>
      <c r="H1077" s="117"/>
      <c r="I1077" s="40"/>
      <c r="J1077" s="40">
        <v>583</v>
      </c>
      <c r="K1077" s="20">
        <v>2015</v>
      </c>
      <c r="L1077" s="20">
        <v>59.14</v>
      </c>
      <c r="M1077" s="110">
        <f>IF(L1077="",I1077,(MIN(J1077,(L1077*1.6*J1077))))</f>
        <v>583</v>
      </c>
      <c r="N1077" s="111">
        <f>IF(M1077=0,0,(M1077/J1077))</f>
        <v>1</v>
      </c>
    </row>
    <row r="1078" spans="2:14">
      <c r="B1078" s="73">
        <v>127591</v>
      </c>
      <c r="C1078" s="23" t="s">
        <v>620</v>
      </c>
      <c r="D1078" s="123">
        <f>SUMIF(B$3:B$3844,B1078,M$3:M$3844)/(SUMIF(B$3:B$3844,B1078,J$3:J$3844))</f>
        <v>0.72335604859089875</v>
      </c>
      <c r="E1078" s="23">
        <v>35007</v>
      </c>
      <c r="F1078" s="46" t="s">
        <v>703</v>
      </c>
      <c r="G1078" s="117"/>
      <c r="H1078" s="117"/>
      <c r="I1078" s="41"/>
      <c r="J1078" s="41">
        <v>241</v>
      </c>
      <c r="K1078" s="20">
        <v>2015</v>
      </c>
      <c r="L1078" s="20">
        <v>59.14</v>
      </c>
      <c r="M1078" s="110">
        <f>IF(L1078="",I1078,(MIN(J1078,(L1078*1.6*J1078))))</f>
        <v>241</v>
      </c>
      <c r="N1078" s="111">
        <f>IF(M1078=0,0,(M1078/J1078))</f>
        <v>1</v>
      </c>
    </row>
    <row r="1079" spans="2:14">
      <c r="B1079" s="72">
        <v>127591</v>
      </c>
      <c r="C1079" s="47" t="s">
        <v>620</v>
      </c>
      <c r="D1079" s="123">
        <f>SUMIF(B$3:B$3844,B1079,M$3:M$3844)/(SUMIF(B$3:B$3844,B1079,J$3:J$3844))</f>
        <v>0.72335604859089875</v>
      </c>
      <c r="E1079" s="47">
        <v>35153</v>
      </c>
      <c r="F1079" s="48" t="s">
        <v>704</v>
      </c>
      <c r="G1079" s="117"/>
      <c r="H1079" s="117"/>
      <c r="I1079" s="40">
        <v>311</v>
      </c>
      <c r="J1079" s="40">
        <v>1034</v>
      </c>
      <c r="K1079" s="20"/>
      <c r="L1079" s="20"/>
      <c r="M1079" s="110">
        <f>IF(L1079="",I1079,(MIN(J1079,(L1079*1.6*J1079))))</f>
        <v>311</v>
      </c>
      <c r="N1079" s="111">
        <f>IF(M1079=0,0,(M1079/J1079))</f>
        <v>0.30077369439071566</v>
      </c>
    </row>
    <row r="1080" spans="2:14">
      <c r="B1080" s="73">
        <v>127591</v>
      </c>
      <c r="C1080" s="23" t="s">
        <v>620</v>
      </c>
      <c r="D1080" s="123">
        <f>SUMIF(B$3:B$3844,B1080,M$3:M$3844)/(SUMIF(B$3:B$3844,B1080,J$3:J$3844))</f>
        <v>0.72335604859089875</v>
      </c>
      <c r="E1080" s="23">
        <v>35161</v>
      </c>
      <c r="F1080" s="46" t="s">
        <v>705</v>
      </c>
      <c r="G1080" s="117"/>
      <c r="H1080" s="117"/>
      <c r="I1080" s="41">
        <v>343</v>
      </c>
      <c r="J1080" s="41">
        <v>836</v>
      </c>
      <c r="K1080" s="20"/>
      <c r="L1080" s="20"/>
      <c r="M1080" s="110">
        <f>IF(L1080="",I1080,(MIN(J1080,(L1080*1.6*J1080))))</f>
        <v>343</v>
      </c>
      <c r="N1080" s="111">
        <f>IF(M1080=0,0,(M1080/J1080))</f>
        <v>0.41028708133971292</v>
      </c>
    </row>
    <row r="1081" spans="2:14">
      <c r="B1081" s="72">
        <v>127591</v>
      </c>
      <c r="C1081" s="47" t="s">
        <v>620</v>
      </c>
      <c r="D1081" s="123">
        <f>SUMIF(B$3:B$3844,B1081,M$3:M$3844)/(SUMIF(B$3:B$3844,B1081,J$3:J$3844))</f>
        <v>0.72335604859089875</v>
      </c>
      <c r="E1081" s="47">
        <v>35112</v>
      </c>
      <c r="F1081" s="48" t="s">
        <v>706</v>
      </c>
      <c r="G1081" s="117"/>
      <c r="H1081" s="117"/>
      <c r="I1081" s="40"/>
      <c r="J1081" s="40">
        <v>399</v>
      </c>
      <c r="K1081" s="20">
        <v>2015</v>
      </c>
      <c r="L1081" s="20">
        <v>59.14</v>
      </c>
      <c r="M1081" s="110">
        <f>IF(L1081="",I1081,(MIN(J1081,(L1081*1.6*J1081))))</f>
        <v>399</v>
      </c>
      <c r="N1081" s="111">
        <f>IF(M1081=0,0,(M1081/J1081))</f>
        <v>1</v>
      </c>
    </row>
    <row r="1082" spans="2:14">
      <c r="B1082" s="73">
        <v>127591</v>
      </c>
      <c r="C1082" s="23" t="s">
        <v>620</v>
      </c>
      <c r="D1082" s="123">
        <f>SUMIF(B$3:B$3844,B1082,M$3:M$3844)/(SUMIF(B$3:B$3844,B1082,J$3:J$3844))</f>
        <v>0.72335604859089875</v>
      </c>
      <c r="E1082" s="23">
        <v>35169</v>
      </c>
      <c r="F1082" s="46" t="s">
        <v>707</v>
      </c>
      <c r="G1082" s="117"/>
      <c r="H1082" s="117"/>
      <c r="I1082" s="41"/>
      <c r="J1082" s="41">
        <v>447</v>
      </c>
      <c r="K1082" s="20">
        <v>2015</v>
      </c>
      <c r="L1082" s="20">
        <v>59.14</v>
      </c>
      <c r="M1082" s="110">
        <f>IF(L1082="",I1082,(MIN(J1082,(L1082*1.6*J1082))))</f>
        <v>447</v>
      </c>
      <c r="N1082" s="111">
        <f>IF(M1082=0,0,(M1082/J1082))</f>
        <v>1</v>
      </c>
    </row>
    <row r="1083" spans="2:14">
      <c r="B1083" s="72">
        <v>127591</v>
      </c>
      <c r="C1083" s="47" t="s">
        <v>620</v>
      </c>
      <c r="D1083" s="123">
        <f>SUMIF(B$3:B$3844,B1083,M$3:M$3844)/(SUMIF(B$3:B$3844,B1083,J$3:J$3844))</f>
        <v>0.72335604859089875</v>
      </c>
      <c r="E1083" s="47">
        <v>35220</v>
      </c>
      <c r="F1083" s="48" t="s">
        <v>708</v>
      </c>
      <c r="G1083" s="117"/>
      <c r="H1083" s="117"/>
      <c r="I1083" s="40">
        <v>641</v>
      </c>
      <c r="J1083" s="40">
        <v>2477</v>
      </c>
      <c r="K1083" s="20"/>
      <c r="L1083" s="20"/>
      <c r="M1083" s="110">
        <f>IF(L1083="",I1083,(MIN(J1083,(L1083*1.6*J1083))))</f>
        <v>641</v>
      </c>
      <c r="N1083" s="111">
        <f>IF(M1083=0,0,(M1083/J1083))</f>
        <v>0.25878078320549053</v>
      </c>
    </row>
    <row r="1084" spans="2:14">
      <c r="B1084" s="73">
        <v>127591</v>
      </c>
      <c r="C1084" s="23" t="s">
        <v>620</v>
      </c>
      <c r="D1084" s="123">
        <f>SUMIF(B$3:B$3844,B1084,M$3:M$3844)/(SUMIF(B$3:B$3844,B1084,J$3:J$3844))</f>
        <v>0.72335604859089875</v>
      </c>
      <c r="E1084" s="23">
        <v>35211</v>
      </c>
      <c r="F1084" s="46" t="s">
        <v>709</v>
      </c>
      <c r="G1084" s="117"/>
      <c r="H1084" s="117"/>
      <c r="I1084" s="41">
        <v>588</v>
      </c>
      <c r="J1084" s="41">
        <v>1433</v>
      </c>
      <c r="K1084" s="20"/>
      <c r="L1084" s="20"/>
      <c r="M1084" s="110">
        <f>IF(L1084="",I1084,(MIN(J1084,(L1084*1.6*J1084))))</f>
        <v>588</v>
      </c>
      <c r="N1084" s="111">
        <f>IF(M1084=0,0,(M1084/J1084))</f>
        <v>0.41032798325191905</v>
      </c>
    </row>
    <row r="1085" spans="2:14">
      <c r="B1085" s="72">
        <v>127591</v>
      </c>
      <c r="C1085" s="47" t="s">
        <v>620</v>
      </c>
      <c r="D1085" s="123">
        <f>SUMIF(B$3:B$3844,B1085,M$3:M$3844)/(SUMIF(B$3:B$3844,B1085,J$3:J$3844))</f>
        <v>0.72335604859089875</v>
      </c>
      <c r="E1085" s="47">
        <v>35213</v>
      </c>
      <c r="F1085" s="48" t="s">
        <v>710</v>
      </c>
      <c r="G1085" s="117"/>
      <c r="H1085" s="117"/>
      <c r="I1085" s="40">
        <v>499</v>
      </c>
      <c r="J1085" s="40">
        <v>1144</v>
      </c>
      <c r="K1085" s="20"/>
      <c r="L1085" s="20"/>
      <c r="M1085" s="110">
        <f>IF(L1085="",I1085,(MIN(J1085,(L1085*1.6*J1085))))</f>
        <v>499</v>
      </c>
      <c r="N1085" s="111">
        <f>IF(M1085=0,0,(M1085/J1085))</f>
        <v>0.4361888111888112</v>
      </c>
    </row>
    <row r="1086" spans="2:14">
      <c r="B1086" s="73">
        <v>127591</v>
      </c>
      <c r="C1086" s="23" t="s">
        <v>620</v>
      </c>
      <c r="D1086" s="123">
        <f>SUMIF(B$3:B$3844,B1086,M$3:M$3844)/(SUMIF(B$3:B$3844,B1086,J$3:J$3844))</f>
        <v>0.72335604859089875</v>
      </c>
      <c r="E1086" s="23">
        <v>35042</v>
      </c>
      <c r="F1086" s="46" t="s">
        <v>711</v>
      </c>
      <c r="G1086" s="117"/>
      <c r="H1086" s="117"/>
      <c r="I1086" s="41"/>
      <c r="J1086" s="41">
        <v>481</v>
      </c>
      <c r="K1086" s="20">
        <v>2015</v>
      </c>
      <c r="L1086" s="20">
        <v>59.14</v>
      </c>
      <c r="M1086" s="110">
        <f>IF(L1086="",I1086,(MIN(J1086,(L1086*1.6*J1086))))</f>
        <v>481</v>
      </c>
      <c r="N1086" s="111">
        <f>IF(M1086=0,0,(M1086/J1086))</f>
        <v>1</v>
      </c>
    </row>
    <row r="1087" spans="2:14">
      <c r="B1087" s="72">
        <v>127591</v>
      </c>
      <c r="C1087" s="47" t="s">
        <v>620</v>
      </c>
      <c r="D1087" s="123">
        <f>SUMIF(B$3:B$3844,B1087,M$3:M$3844)/(SUMIF(B$3:B$3844,B1087,J$3:J$3844))</f>
        <v>0.72335604859089875</v>
      </c>
      <c r="E1087" s="47">
        <v>35015</v>
      </c>
      <c r="F1087" s="48" t="s">
        <v>712</v>
      </c>
      <c r="G1087" s="117"/>
      <c r="H1087" s="117"/>
      <c r="I1087" s="40"/>
      <c r="J1087" s="40">
        <v>503</v>
      </c>
      <c r="K1087" s="20">
        <v>2015</v>
      </c>
      <c r="L1087" s="20">
        <v>59.14</v>
      </c>
      <c r="M1087" s="110">
        <f>IF(L1087="",I1087,(MIN(J1087,(L1087*1.6*J1087))))</f>
        <v>503</v>
      </c>
      <c r="N1087" s="111">
        <f>IF(M1087=0,0,(M1087/J1087))</f>
        <v>1</v>
      </c>
    </row>
    <row r="1088" spans="2:14">
      <c r="B1088" s="73">
        <v>127591</v>
      </c>
      <c r="C1088" s="23" t="s">
        <v>620</v>
      </c>
      <c r="D1088" s="123">
        <f>SUMIF(B$3:B$3844,B1088,M$3:M$3844)/(SUMIF(B$3:B$3844,B1088,J$3:J$3844))</f>
        <v>0.72335604859089875</v>
      </c>
      <c r="E1088" s="23">
        <v>35014</v>
      </c>
      <c r="F1088" s="46" t="s">
        <v>713</v>
      </c>
      <c r="G1088" s="117"/>
      <c r="H1088" s="117"/>
      <c r="I1088" s="41"/>
      <c r="J1088" s="41">
        <v>78</v>
      </c>
      <c r="K1088" s="20">
        <v>2015</v>
      </c>
      <c r="L1088" s="20">
        <v>59.14</v>
      </c>
      <c r="M1088" s="110">
        <f>IF(L1088="",I1088,(MIN(J1088,(L1088*1.6*J1088))))</f>
        <v>78</v>
      </c>
      <c r="N1088" s="111">
        <f>IF(M1088=0,0,(M1088/J1088))</f>
        <v>1</v>
      </c>
    </row>
    <row r="1089" spans="2:14">
      <c r="B1089" s="72">
        <v>127591</v>
      </c>
      <c r="C1089" s="47" t="s">
        <v>620</v>
      </c>
      <c r="D1089" s="123">
        <f>SUMIF(B$3:B$3844,B1089,M$3:M$3844)/(SUMIF(B$3:B$3844,B1089,J$3:J$3844))</f>
        <v>0.72335604859089875</v>
      </c>
      <c r="E1089" s="47">
        <v>35165</v>
      </c>
      <c r="F1089" s="48" t="s">
        <v>714</v>
      </c>
      <c r="G1089" s="117"/>
      <c r="H1089" s="117"/>
      <c r="I1089" s="40"/>
      <c r="J1089" s="40">
        <v>462</v>
      </c>
      <c r="K1089" s="20">
        <v>2015</v>
      </c>
      <c r="L1089" s="20">
        <v>59.14</v>
      </c>
      <c r="M1089" s="110">
        <f>IF(L1089="",I1089,(MIN(J1089,(L1089*1.6*J1089))))</f>
        <v>462</v>
      </c>
      <c r="N1089" s="111">
        <f>IF(M1089=0,0,(M1089/J1089))</f>
        <v>1</v>
      </c>
    </row>
    <row r="1090" spans="2:14">
      <c r="B1090" s="73">
        <v>127591</v>
      </c>
      <c r="C1090" s="23" t="s">
        <v>620</v>
      </c>
      <c r="D1090" s="123">
        <f>SUMIF(B$3:B$3844,B1090,M$3:M$3844)/(SUMIF(B$3:B$3844,B1090,J$3:J$3844))</f>
        <v>0.72335604859089875</v>
      </c>
      <c r="E1090" s="23">
        <v>35164</v>
      </c>
      <c r="F1090" s="46" t="s">
        <v>715</v>
      </c>
      <c r="G1090" s="117"/>
      <c r="H1090" s="117"/>
      <c r="I1090" s="41">
        <v>375</v>
      </c>
      <c r="J1090" s="41">
        <v>800</v>
      </c>
      <c r="K1090" s="20"/>
      <c r="L1090" s="20"/>
      <c r="M1090" s="110">
        <f>IF(L1090="",I1090,(MIN(J1090,(L1090*1.6*J1090))))</f>
        <v>375</v>
      </c>
      <c r="N1090" s="111">
        <f>IF(M1090=0,0,(M1090/J1090))</f>
        <v>0.46875</v>
      </c>
    </row>
    <row r="1091" spans="2:14">
      <c r="B1091" s="72">
        <v>127591</v>
      </c>
      <c r="C1091" s="47" t="s">
        <v>620</v>
      </c>
      <c r="D1091" s="123">
        <f>SUMIF(B$3:B$3844,B1091,M$3:M$3844)/(SUMIF(B$3:B$3844,B1091,J$3:J$3844))</f>
        <v>0.72335604859089875</v>
      </c>
      <c r="E1091" s="47">
        <v>35236</v>
      </c>
      <c r="F1091" s="48" t="s">
        <v>716</v>
      </c>
      <c r="G1091" s="117"/>
      <c r="H1091" s="117"/>
      <c r="I1091" s="40"/>
      <c r="J1091" s="40">
        <v>672</v>
      </c>
      <c r="K1091" s="20">
        <v>2015</v>
      </c>
      <c r="L1091" s="20">
        <v>59.14</v>
      </c>
      <c r="M1091" s="110">
        <f>IF(L1091="",I1091,(MIN(J1091,(L1091*1.6*J1091))))</f>
        <v>672</v>
      </c>
      <c r="N1091" s="111">
        <f>IF(M1091=0,0,(M1091/J1091))</f>
        <v>1</v>
      </c>
    </row>
    <row r="1092" spans="2:14">
      <c r="B1092" s="73">
        <v>127591</v>
      </c>
      <c r="C1092" s="23" t="s">
        <v>620</v>
      </c>
      <c r="D1092" s="123">
        <f>SUMIF(B$3:B$3844,B1092,M$3:M$3844)/(SUMIF(B$3:B$3844,B1092,J$3:J$3844))</f>
        <v>0.72335604859089875</v>
      </c>
      <c r="E1092" s="23">
        <v>35070</v>
      </c>
      <c r="F1092" s="46" t="s">
        <v>717</v>
      </c>
      <c r="G1092" s="117"/>
      <c r="H1092" s="117"/>
      <c r="I1092" s="41"/>
      <c r="J1092" s="41">
        <v>152</v>
      </c>
      <c r="K1092" s="20">
        <v>2015</v>
      </c>
      <c r="L1092" s="20">
        <v>59.14</v>
      </c>
      <c r="M1092" s="110">
        <f>IF(L1092="",I1092,(MIN(J1092,(L1092*1.6*J1092))))</f>
        <v>152</v>
      </c>
      <c r="N1092" s="111">
        <f>IF(M1092=0,0,(M1092/J1092))</f>
        <v>1</v>
      </c>
    </row>
    <row r="1093" spans="2:14">
      <c r="B1093" s="72">
        <v>127591</v>
      </c>
      <c r="C1093" s="47" t="s">
        <v>620</v>
      </c>
      <c r="D1093" s="123">
        <f>SUMIF(B$3:B$3844,B1093,M$3:M$3844)/(SUMIF(B$3:B$3844,B1093,J$3:J$3844))</f>
        <v>0.72335604859089875</v>
      </c>
      <c r="E1093" s="47">
        <v>35228</v>
      </c>
      <c r="F1093" s="48" t="s">
        <v>718</v>
      </c>
      <c r="G1093" s="117"/>
      <c r="H1093" s="117"/>
      <c r="I1093" s="40">
        <v>394</v>
      </c>
      <c r="J1093" s="40">
        <v>878</v>
      </c>
      <c r="K1093" s="20"/>
      <c r="L1093" s="20"/>
      <c r="M1093" s="110">
        <f>IF(L1093="",I1093,(MIN(J1093,(L1093*1.6*J1093))))</f>
        <v>394</v>
      </c>
      <c r="N1093" s="111">
        <f>IF(M1093=0,0,(M1093/J1093))</f>
        <v>0.44874715261958997</v>
      </c>
    </row>
    <row r="1094" spans="2:14">
      <c r="B1094" s="73">
        <v>127591</v>
      </c>
      <c r="C1094" s="23" t="s">
        <v>620</v>
      </c>
      <c r="D1094" s="123">
        <f>SUMIF(B$3:B$3844,B1094,M$3:M$3844)/(SUMIF(B$3:B$3844,B1094,J$3:J$3844))</f>
        <v>0.72335604859089875</v>
      </c>
      <c r="E1094" s="23">
        <v>16036982</v>
      </c>
      <c r="F1094" s="46" t="s">
        <v>719</v>
      </c>
      <c r="G1094" s="117"/>
      <c r="H1094" s="117"/>
      <c r="I1094" s="41">
        <v>435</v>
      </c>
      <c r="J1094" s="41">
        <v>1185</v>
      </c>
      <c r="K1094" s="20"/>
      <c r="L1094" s="20"/>
      <c r="M1094" s="110">
        <f>IF(L1094="",I1094,(MIN(J1094,(L1094*1.6*J1094))))</f>
        <v>435</v>
      </c>
      <c r="N1094" s="111">
        <f>IF(M1094=0,0,(M1094/J1094))</f>
        <v>0.36708860759493672</v>
      </c>
    </row>
    <row r="1095" spans="2:14">
      <c r="B1095" s="72">
        <v>127591</v>
      </c>
      <c r="C1095" s="47" t="s">
        <v>620</v>
      </c>
      <c r="D1095" s="123">
        <f>SUMIF(B$3:B$3844,B1095,M$3:M$3844)/(SUMIF(B$3:B$3844,B1095,J$3:J$3844))</f>
        <v>0.72335604859089875</v>
      </c>
      <c r="E1095" s="47">
        <v>35079</v>
      </c>
      <c r="F1095" s="48" t="s">
        <v>720</v>
      </c>
      <c r="G1095" s="117"/>
      <c r="H1095" s="117"/>
      <c r="I1095" s="40"/>
      <c r="J1095" s="40">
        <v>396</v>
      </c>
      <c r="K1095" s="20">
        <v>2015</v>
      </c>
      <c r="L1095" s="20">
        <v>59.14</v>
      </c>
      <c r="M1095" s="110">
        <f>IF(L1095="",I1095,(MIN(J1095,(L1095*1.6*J1095))))</f>
        <v>396</v>
      </c>
      <c r="N1095" s="111">
        <f>IF(M1095=0,0,(M1095/J1095))</f>
        <v>1</v>
      </c>
    </row>
    <row r="1096" spans="2:14">
      <c r="B1096" s="73">
        <v>127591</v>
      </c>
      <c r="C1096" s="23" t="s">
        <v>620</v>
      </c>
      <c r="D1096" s="123">
        <f>SUMIF(B$3:B$3844,B1096,M$3:M$3844)/(SUMIF(B$3:B$3844,B1096,J$3:J$3844))</f>
        <v>0.72335604859089875</v>
      </c>
      <c r="E1096" s="23">
        <v>35051</v>
      </c>
      <c r="F1096" s="46" t="s">
        <v>721</v>
      </c>
      <c r="G1096" s="117"/>
      <c r="H1096" s="117"/>
      <c r="I1096" s="41"/>
      <c r="J1096" s="41">
        <v>710</v>
      </c>
      <c r="K1096" s="20">
        <v>2015</v>
      </c>
      <c r="L1096" s="20">
        <v>59.14</v>
      </c>
      <c r="M1096" s="110">
        <f>IF(L1096="",I1096,(MIN(J1096,(L1096*1.6*J1096))))</f>
        <v>710</v>
      </c>
      <c r="N1096" s="111">
        <f>IF(M1096=0,0,(M1096/J1096))</f>
        <v>1</v>
      </c>
    </row>
    <row r="1097" spans="2:14">
      <c r="B1097" s="72">
        <v>127591</v>
      </c>
      <c r="C1097" s="47" t="s">
        <v>620</v>
      </c>
      <c r="D1097" s="123">
        <f>SUMIF(B$3:B$3844,B1097,M$3:M$3844)/(SUMIF(B$3:B$3844,B1097,J$3:J$3844))</f>
        <v>0.72335604859089875</v>
      </c>
      <c r="E1097" s="47">
        <v>35057</v>
      </c>
      <c r="F1097" s="48" t="s">
        <v>722</v>
      </c>
      <c r="G1097" s="117"/>
      <c r="H1097" s="117"/>
      <c r="I1097" s="40"/>
      <c r="J1097" s="40">
        <v>521</v>
      </c>
      <c r="K1097" s="20">
        <v>2015</v>
      </c>
      <c r="L1097" s="20">
        <v>59.14</v>
      </c>
      <c r="M1097" s="110">
        <f>IF(L1097="",I1097,(MIN(J1097,(L1097*1.6*J1097))))</f>
        <v>521</v>
      </c>
      <c r="N1097" s="111">
        <f>IF(M1097=0,0,(M1097/J1097))</f>
        <v>1</v>
      </c>
    </row>
    <row r="1098" spans="2:14">
      <c r="B1098" s="73">
        <v>127591</v>
      </c>
      <c r="C1098" s="23" t="s">
        <v>620</v>
      </c>
      <c r="D1098" s="123">
        <f>SUMIF(B$3:B$3844,B1098,M$3:M$3844)/(SUMIF(B$3:B$3844,B1098,J$3:J$3844))</f>
        <v>0.72335604859089875</v>
      </c>
      <c r="E1098" s="23">
        <v>35091</v>
      </c>
      <c r="F1098" s="46" t="s">
        <v>723</v>
      </c>
      <c r="G1098" s="117"/>
      <c r="H1098" s="117"/>
      <c r="I1098" s="41"/>
      <c r="J1098" s="41">
        <v>526</v>
      </c>
      <c r="K1098" s="20">
        <v>2015</v>
      </c>
      <c r="L1098" s="20">
        <v>59.14</v>
      </c>
      <c r="M1098" s="110">
        <f>IF(L1098="",I1098,(MIN(J1098,(L1098*1.6*J1098))))</f>
        <v>526</v>
      </c>
      <c r="N1098" s="111">
        <f>IF(M1098=0,0,(M1098/J1098))</f>
        <v>1</v>
      </c>
    </row>
    <row r="1099" spans="2:14">
      <c r="B1099" s="72">
        <v>127591</v>
      </c>
      <c r="C1099" s="47" t="s">
        <v>620</v>
      </c>
      <c r="D1099" s="123">
        <f>SUMIF(B$3:B$3844,B1099,M$3:M$3844)/(SUMIF(B$3:B$3844,B1099,J$3:J$3844))</f>
        <v>0.72335604859089875</v>
      </c>
      <c r="E1099" s="47">
        <v>35134</v>
      </c>
      <c r="F1099" s="48" t="s">
        <v>724</v>
      </c>
      <c r="G1099" s="117"/>
      <c r="H1099" s="117"/>
      <c r="I1099" s="40"/>
      <c r="J1099" s="40">
        <v>618</v>
      </c>
      <c r="K1099" s="20">
        <v>2015</v>
      </c>
      <c r="L1099" s="20">
        <v>59.14</v>
      </c>
      <c r="M1099" s="110">
        <f>IF(L1099="",I1099,(MIN(J1099,(L1099*1.6*J1099))))</f>
        <v>618</v>
      </c>
      <c r="N1099" s="111">
        <f>IF(M1099=0,0,(M1099/J1099))</f>
        <v>1</v>
      </c>
    </row>
    <row r="1100" spans="2:14">
      <c r="B1100" s="73">
        <v>127591</v>
      </c>
      <c r="C1100" s="23" t="s">
        <v>620</v>
      </c>
      <c r="D1100" s="123">
        <f>SUMIF(B$3:B$3844,B1100,M$3:M$3844)/(SUMIF(B$3:B$3844,B1100,J$3:J$3844))</f>
        <v>0.72335604859089875</v>
      </c>
      <c r="E1100" s="23">
        <v>235338</v>
      </c>
      <c r="F1100" s="46" t="s">
        <v>725</v>
      </c>
      <c r="G1100" s="117"/>
      <c r="H1100" s="117"/>
      <c r="I1100" s="41">
        <v>567</v>
      </c>
      <c r="J1100" s="41">
        <v>1129</v>
      </c>
      <c r="K1100" s="20"/>
      <c r="L1100" s="20"/>
      <c r="M1100" s="110">
        <f>IF(L1100="",I1100,(MIN(J1100,(L1100*1.6*J1100))))</f>
        <v>567</v>
      </c>
      <c r="N1100" s="111">
        <f>IF(M1100=0,0,(M1100/J1100))</f>
        <v>0.50221434898139949</v>
      </c>
    </row>
    <row r="1101" spans="2:14">
      <c r="B1101" s="72">
        <v>127591</v>
      </c>
      <c r="C1101" s="47" t="s">
        <v>620</v>
      </c>
      <c r="D1101" s="123">
        <f>SUMIF(B$3:B$3844,B1101,M$3:M$3844)/(SUMIF(B$3:B$3844,B1101,J$3:J$3844))</f>
        <v>0.72335604859089875</v>
      </c>
      <c r="E1101" s="47">
        <v>35083</v>
      </c>
      <c r="F1101" s="48" t="s">
        <v>726</v>
      </c>
      <c r="G1101" s="117"/>
      <c r="H1101" s="117"/>
      <c r="I1101" s="40"/>
      <c r="J1101" s="40">
        <v>385</v>
      </c>
      <c r="K1101" s="20">
        <v>2015</v>
      </c>
      <c r="L1101" s="20">
        <v>59.14</v>
      </c>
      <c r="M1101" s="110">
        <f>IF(L1101="",I1101,(MIN(J1101,(L1101*1.6*J1101))))</f>
        <v>385</v>
      </c>
      <c r="N1101" s="111">
        <f>IF(M1101=0,0,(M1101/J1101))</f>
        <v>1</v>
      </c>
    </row>
    <row r="1102" spans="2:14">
      <c r="B1102" s="73">
        <v>127591</v>
      </c>
      <c r="C1102" s="23" t="s">
        <v>620</v>
      </c>
      <c r="D1102" s="123">
        <f>SUMIF(B$3:B$3844,B1102,M$3:M$3844)/(SUMIF(B$3:B$3844,B1102,J$3:J$3844))</f>
        <v>0.72335604859089875</v>
      </c>
      <c r="E1102" s="23">
        <v>35202</v>
      </c>
      <c r="F1102" s="46" t="s">
        <v>727</v>
      </c>
      <c r="G1102" s="117"/>
      <c r="H1102" s="117"/>
      <c r="I1102" s="41"/>
      <c r="J1102" s="41">
        <v>149</v>
      </c>
      <c r="K1102" s="20">
        <v>2015</v>
      </c>
      <c r="L1102" s="20">
        <v>59.14</v>
      </c>
      <c r="M1102" s="110">
        <f>IF(L1102="",I1102,(MIN(J1102,(L1102*1.6*J1102))))</f>
        <v>149</v>
      </c>
      <c r="N1102" s="111">
        <f>IF(M1102=0,0,(M1102/J1102))</f>
        <v>1</v>
      </c>
    </row>
    <row r="1103" spans="2:14">
      <c r="B1103" s="72">
        <v>127591</v>
      </c>
      <c r="C1103" s="47" t="s">
        <v>620</v>
      </c>
      <c r="D1103" s="123">
        <f>SUMIF(B$3:B$3844,B1103,M$3:M$3844)/(SUMIF(B$3:B$3844,B1103,J$3:J$3844))</f>
        <v>0.72335604859089875</v>
      </c>
      <c r="E1103" s="47">
        <v>35100</v>
      </c>
      <c r="F1103" s="48" t="s">
        <v>728</v>
      </c>
      <c r="G1103" s="117"/>
      <c r="H1103" s="117"/>
      <c r="I1103" s="40"/>
      <c r="J1103" s="40">
        <v>421</v>
      </c>
      <c r="K1103" s="20">
        <v>2015</v>
      </c>
      <c r="L1103" s="20">
        <v>59.14</v>
      </c>
      <c r="M1103" s="110">
        <f>IF(L1103="",I1103,(MIN(J1103,(L1103*1.6*J1103))))</f>
        <v>421</v>
      </c>
      <c r="N1103" s="111">
        <f>IF(M1103=0,0,(M1103/J1103))</f>
        <v>1</v>
      </c>
    </row>
    <row r="1104" spans="2:14">
      <c r="B1104" s="73">
        <v>127591</v>
      </c>
      <c r="C1104" s="23" t="s">
        <v>620</v>
      </c>
      <c r="D1104" s="123">
        <f>SUMIF(B$3:B$3844,B1104,M$3:M$3844)/(SUMIF(B$3:B$3844,B1104,J$3:J$3844))</f>
        <v>0.72335604859089875</v>
      </c>
      <c r="E1104" s="23">
        <v>35200</v>
      </c>
      <c r="F1104" s="46" t="s">
        <v>729</v>
      </c>
      <c r="G1104" s="117"/>
      <c r="H1104" s="117"/>
      <c r="I1104" s="41">
        <v>398</v>
      </c>
      <c r="J1104" s="41">
        <v>1480</v>
      </c>
      <c r="K1104" s="20"/>
      <c r="L1104" s="20"/>
      <c r="M1104" s="110">
        <f>IF(L1104="",I1104,(MIN(J1104,(L1104*1.6*J1104))))</f>
        <v>398</v>
      </c>
      <c r="N1104" s="111">
        <f>IF(M1104=0,0,(M1104/J1104))</f>
        <v>0.26891891891891889</v>
      </c>
    </row>
    <row r="1105" spans="2:14">
      <c r="B1105" s="72">
        <v>127591</v>
      </c>
      <c r="C1105" s="47" t="s">
        <v>620</v>
      </c>
      <c r="D1105" s="123">
        <f>SUMIF(B$3:B$3844,B1105,M$3:M$3844)/(SUMIF(B$3:B$3844,B1105,J$3:J$3844))</f>
        <v>0.72335604859089875</v>
      </c>
      <c r="E1105" s="47">
        <v>35198</v>
      </c>
      <c r="F1105" s="48" t="s">
        <v>730</v>
      </c>
      <c r="G1105" s="117"/>
      <c r="H1105" s="117"/>
      <c r="I1105" s="40"/>
      <c r="J1105" s="40">
        <v>225</v>
      </c>
      <c r="K1105" s="20">
        <v>2015</v>
      </c>
      <c r="L1105" s="20">
        <v>59.14</v>
      </c>
      <c r="M1105" s="110">
        <f>IF(L1105="",I1105,(MIN(J1105,(L1105*1.6*J1105))))</f>
        <v>225</v>
      </c>
      <c r="N1105" s="111">
        <f>IF(M1105=0,0,(M1105/J1105))</f>
        <v>1</v>
      </c>
    </row>
    <row r="1106" spans="2:14">
      <c r="B1106" s="73">
        <v>127591</v>
      </c>
      <c r="C1106" s="23" t="s">
        <v>620</v>
      </c>
      <c r="D1106" s="123">
        <f>SUMIF(B$3:B$3844,B1106,M$3:M$3844)/(SUMIF(B$3:B$3844,B1106,J$3:J$3844))</f>
        <v>0.72335604859089875</v>
      </c>
      <c r="E1106" s="23">
        <v>35137</v>
      </c>
      <c r="F1106" s="46" t="s">
        <v>731</v>
      </c>
      <c r="G1106" s="117"/>
      <c r="H1106" s="117"/>
      <c r="I1106" s="41"/>
      <c r="J1106" s="41">
        <v>283</v>
      </c>
      <c r="K1106" s="20">
        <v>2015</v>
      </c>
      <c r="L1106" s="20">
        <v>59.14</v>
      </c>
      <c r="M1106" s="110">
        <f>IF(L1106="",I1106,(MIN(J1106,(L1106*1.6*J1106))))</f>
        <v>283</v>
      </c>
      <c r="N1106" s="111">
        <f>IF(M1106=0,0,(M1106/J1106))</f>
        <v>1</v>
      </c>
    </row>
    <row r="1107" spans="2:14">
      <c r="B1107" s="72">
        <v>127591</v>
      </c>
      <c r="C1107" s="47" t="s">
        <v>620</v>
      </c>
      <c r="D1107" s="123">
        <f>SUMIF(B$3:B$3844,B1107,M$3:M$3844)/(SUMIF(B$3:B$3844,B1107,J$3:J$3844))</f>
        <v>0.72335604859089875</v>
      </c>
      <c r="E1107" s="47">
        <v>35032</v>
      </c>
      <c r="F1107" s="48" t="s">
        <v>732</v>
      </c>
      <c r="G1107" s="117"/>
      <c r="H1107" s="117"/>
      <c r="I1107" s="40">
        <v>200</v>
      </c>
      <c r="J1107" s="40">
        <v>440</v>
      </c>
      <c r="K1107" s="20"/>
      <c r="L1107" s="20"/>
      <c r="M1107" s="110">
        <f>IF(L1107="",I1107,(MIN(J1107,(L1107*1.6*J1107))))</f>
        <v>200</v>
      </c>
      <c r="N1107" s="111">
        <f>IF(M1107=0,0,(M1107/J1107))</f>
        <v>0.45454545454545453</v>
      </c>
    </row>
    <row r="1108" spans="2:14">
      <c r="B1108" s="73">
        <v>127591</v>
      </c>
      <c r="C1108" s="23" t="s">
        <v>620</v>
      </c>
      <c r="D1108" s="123">
        <f>SUMIF(B$3:B$3844,B1108,M$3:M$3844)/(SUMIF(B$3:B$3844,B1108,J$3:J$3844))</f>
        <v>0.72335604859089875</v>
      </c>
      <c r="E1108" s="23">
        <v>35207</v>
      </c>
      <c r="F1108" s="46" t="s">
        <v>733</v>
      </c>
      <c r="G1108" s="117"/>
      <c r="H1108" s="117"/>
      <c r="I1108" s="41"/>
      <c r="J1108" s="41">
        <v>397</v>
      </c>
      <c r="K1108" s="20">
        <v>2015</v>
      </c>
      <c r="L1108" s="20">
        <v>59.14</v>
      </c>
      <c r="M1108" s="110">
        <f>IF(L1108="",I1108,(MIN(J1108,(L1108*1.6*J1108))))</f>
        <v>397</v>
      </c>
      <c r="N1108" s="111">
        <f>IF(M1108=0,0,(M1108/J1108))</f>
        <v>1</v>
      </c>
    </row>
    <row r="1109" spans="2:14">
      <c r="B1109" s="72">
        <v>127591</v>
      </c>
      <c r="C1109" s="47" t="s">
        <v>620</v>
      </c>
      <c r="D1109" s="123">
        <f>SUMIF(B$3:B$3844,B1109,M$3:M$3844)/(SUMIF(B$3:B$3844,B1109,J$3:J$3844))</f>
        <v>0.72335604859089875</v>
      </c>
      <c r="E1109" s="47">
        <v>35065</v>
      </c>
      <c r="F1109" s="48" t="s">
        <v>734</v>
      </c>
      <c r="G1109" s="117"/>
      <c r="H1109" s="117"/>
      <c r="I1109" s="40"/>
      <c r="J1109" s="40">
        <v>397</v>
      </c>
      <c r="K1109" s="20">
        <v>2015</v>
      </c>
      <c r="L1109" s="20">
        <v>59.14</v>
      </c>
      <c r="M1109" s="110">
        <f>IF(L1109="",I1109,(MIN(J1109,(L1109*1.6*J1109))))</f>
        <v>397</v>
      </c>
      <c r="N1109" s="111">
        <f>IF(M1109=0,0,(M1109/J1109))</f>
        <v>1</v>
      </c>
    </row>
    <row r="1110" spans="2:14">
      <c r="B1110" s="73">
        <v>127591</v>
      </c>
      <c r="C1110" s="23" t="s">
        <v>620</v>
      </c>
      <c r="D1110" s="123">
        <f>SUMIF(B$3:B$3844,B1110,M$3:M$3844)/(SUMIF(B$3:B$3844,B1110,J$3:J$3844))</f>
        <v>0.72335604859089875</v>
      </c>
      <c r="E1110" s="23">
        <v>34996</v>
      </c>
      <c r="F1110" s="46" t="s">
        <v>735</v>
      </c>
      <c r="G1110" s="117"/>
      <c r="H1110" s="117"/>
      <c r="I1110" s="41"/>
      <c r="J1110" s="41">
        <v>430</v>
      </c>
      <c r="K1110" s="20">
        <v>2015</v>
      </c>
      <c r="L1110" s="20">
        <v>59.14</v>
      </c>
      <c r="M1110" s="110">
        <f>IF(L1110="",I1110,(MIN(J1110,(L1110*1.6*J1110))))</f>
        <v>430</v>
      </c>
      <c r="N1110" s="111">
        <f>IF(M1110=0,0,(M1110/J1110))</f>
        <v>1</v>
      </c>
    </row>
    <row r="1111" spans="2:14">
      <c r="B1111" s="72">
        <v>127591</v>
      </c>
      <c r="C1111" s="47" t="s">
        <v>620</v>
      </c>
      <c r="D1111" s="123">
        <f>SUMIF(B$3:B$3844,B1111,M$3:M$3844)/(SUMIF(B$3:B$3844,B1111,J$3:J$3844))</f>
        <v>0.72335604859089875</v>
      </c>
      <c r="E1111" s="47">
        <v>35204</v>
      </c>
      <c r="F1111" s="48" t="s">
        <v>736</v>
      </c>
      <c r="G1111" s="117"/>
      <c r="H1111" s="117"/>
      <c r="I1111" s="40"/>
      <c r="J1111" s="40">
        <v>240</v>
      </c>
      <c r="K1111" s="20">
        <v>2015</v>
      </c>
      <c r="L1111" s="20">
        <v>59.14</v>
      </c>
      <c r="M1111" s="110">
        <f>IF(L1111="",I1111,(MIN(J1111,(L1111*1.6*J1111))))</f>
        <v>240</v>
      </c>
      <c r="N1111" s="111">
        <f>IF(M1111=0,0,(M1111/J1111))</f>
        <v>1</v>
      </c>
    </row>
    <row r="1112" spans="2:14">
      <c r="B1112" s="73">
        <v>127591</v>
      </c>
      <c r="C1112" s="23" t="s">
        <v>620</v>
      </c>
      <c r="D1112" s="123">
        <f>SUMIF(B$3:B$3844,B1112,M$3:M$3844)/(SUMIF(B$3:B$3844,B1112,J$3:J$3844))</f>
        <v>0.72335604859089875</v>
      </c>
      <c r="E1112" s="23">
        <v>35016</v>
      </c>
      <c r="F1112" s="46" t="s">
        <v>737</v>
      </c>
      <c r="G1112" s="117"/>
      <c r="H1112" s="117"/>
      <c r="I1112" s="41"/>
      <c r="J1112" s="41">
        <v>371</v>
      </c>
      <c r="K1112" s="20">
        <v>2015</v>
      </c>
      <c r="L1112" s="20">
        <v>59.14</v>
      </c>
      <c r="M1112" s="110">
        <f>IF(L1112="",I1112,(MIN(J1112,(L1112*1.6*J1112))))</f>
        <v>371</v>
      </c>
      <c r="N1112" s="111">
        <f>IF(M1112=0,0,(M1112/J1112))</f>
        <v>1</v>
      </c>
    </row>
    <row r="1113" spans="2:14">
      <c r="B1113" s="72">
        <v>127591</v>
      </c>
      <c r="C1113" s="47" t="s">
        <v>620</v>
      </c>
      <c r="D1113" s="123">
        <f>SUMIF(B$3:B$3844,B1113,M$3:M$3844)/(SUMIF(B$3:B$3844,B1113,J$3:J$3844))</f>
        <v>0.72335604859089875</v>
      </c>
      <c r="E1113" s="47">
        <v>35002</v>
      </c>
      <c r="F1113" s="48" t="s">
        <v>738</v>
      </c>
      <c r="G1113" s="117"/>
      <c r="H1113" s="117"/>
      <c r="I1113" s="40"/>
      <c r="J1113" s="40">
        <v>2000</v>
      </c>
      <c r="K1113" s="20">
        <v>2015</v>
      </c>
      <c r="L1113" s="20">
        <v>59.14</v>
      </c>
      <c r="M1113" s="110">
        <f>IF(L1113="",I1113,(MIN(J1113,(L1113*1.6*J1113))))</f>
        <v>2000</v>
      </c>
      <c r="N1113" s="111">
        <f>IF(M1113=0,0,(M1113/J1113))</f>
        <v>1</v>
      </c>
    </row>
    <row r="1114" spans="2:14">
      <c r="B1114" s="73">
        <v>127591</v>
      </c>
      <c r="C1114" s="23" t="s">
        <v>620</v>
      </c>
      <c r="D1114" s="123">
        <f>SUMIF(B$3:B$3844,B1114,M$3:M$3844)/(SUMIF(B$3:B$3844,B1114,J$3:J$3844))</f>
        <v>0.72335604859089875</v>
      </c>
      <c r="E1114" s="23">
        <v>35052</v>
      </c>
      <c r="F1114" s="46" t="s">
        <v>739</v>
      </c>
      <c r="G1114" s="117"/>
      <c r="H1114" s="117"/>
      <c r="I1114" s="41"/>
      <c r="J1114" s="41">
        <v>285</v>
      </c>
      <c r="K1114" s="20">
        <v>2015</v>
      </c>
      <c r="L1114" s="20">
        <v>59.14</v>
      </c>
      <c r="M1114" s="110">
        <f>IF(L1114="",I1114,(MIN(J1114,(L1114*1.6*J1114))))</f>
        <v>285</v>
      </c>
      <c r="N1114" s="111">
        <f>IF(M1114=0,0,(M1114/J1114))</f>
        <v>1</v>
      </c>
    </row>
    <row r="1115" spans="2:14">
      <c r="B1115" s="72">
        <v>127591</v>
      </c>
      <c r="C1115" s="47" t="s">
        <v>620</v>
      </c>
      <c r="D1115" s="123">
        <f>SUMIF(B$3:B$3844,B1115,M$3:M$3844)/(SUMIF(B$3:B$3844,B1115,J$3:J$3844))</f>
        <v>0.72335604859089875</v>
      </c>
      <c r="E1115" s="47">
        <v>34999</v>
      </c>
      <c r="F1115" s="48" t="s">
        <v>740</v>
      </c>
      <c r="G1115" s="117"/>
      <c r="H1115" s="117"/>
      <c r="I1115" s="40"/>
      <c r="J1115" s="40">
        <v>461</v>
      </c>
      <c r="K1115" s="20">
        <v>2015</v>
      </c>
      <c r="L1115" s="20">
        <v>59.14</v>
      </c>
      <c r="M1115" s="110">
        <f>IF(L1115="",I1115,(MIN(J1115,(L1115*1.6*J1115))))</f>
        <v>461</v>
      </c>
      <c r="N1115" s="111">
        <f>IF(M1115=0,0,(M1115/J1115))</f>
        <v>1</v>
      </c>
    </row>
    <row r="1116" spans="2:14">
      <c r="B1116" s="73">
        <v>127591</v>
      </c>
      <c r="C1116" s="23" t="s">
        <v>620</v>
      </c>
      <c r="D1116" s="123">
        <f>SUMIF(B$3:B$3844,B1116,M$3:M$3844)/(SUMIF(B$3:B$3844,B1116,J$3:J$3844))</f>
        <v>0.72335604859089875</v>
      </c>
      <c r="E1116" s="23">
        <v>35040</v>
      </c>
      <c r="F1116" s="46" t="s">
        <v>741</v>
      </c>
      <c r="G1116" s="117"/>
      <c r="H1116" s="117"/>
      <c r="I1116" s="41"/>
      <c r="J1116" s="41">
        <v>283</v>
      </c>
      <c r="K1116" s="20">
        <v>2015</v>
      </c>
      <c r="L1116" s="20">
        <v>59.14</v>
      </c>
      <c r="M1116" s="110">
        <f>IF(L1116="",I1116,(MIN(J1116,(L1116*1.6*J1116))))</f>
        <v>283</v>
      </c>
      <c r="N1116" s="111">
        <f>IF(M1116=0,0,(M1116/J1116))</f>
        <v>1</v>
      </c>
    </row>
    <row r="1117" spans="2:14">
      <c r="B1117" s="72">
        <v>127591</v>
      </c>
      <c r="C1117" s="47" t="s">
        <v>620</v>
      </c>
      <c r="D1117" s="123">
        <f>SUMIF(B$3:B$3844,B1117,M$3:M$3844)/(SUMIF(B$3:B$3844,B1117,J$3:J$3844))</f>
        <v>0.72335604859089875</v>
      </c>
      <c r="E1117" s="47">
        <v>35145</v>
      </c>
      <c r="F1117" s="48" t="s">
        <v>742</v>
      </c>
      <c r="G1117" s="117"/>
      <c r="H1117" s="117"/>
      <c r="I1117" s="40"/>
      <c r="J1117" s="40">
        <v>272</v>
      </c>
      <c r="K1117" s="20">
        <v>2015</v>
      </c>
      <c r="L1117" s="20">
        <v>59.14</v>
      </c>
      <c r="M1117" s="110">
        <f>IF(L1117="",I1117,(MIN(J1117,(L1117*1.6*J1117))))</f>
        <v>272</v>
      </c>
      <c r="N1117" s="111">
        <f>IF(M1117=0,0,(M1117/J1117))</f>
        <v>1</v>
      </c>
    </row>
    <row r="1118" spans="2:14">
      <c r="B1118" s="73">
        <v>127591</v>
      </c>
      <c r="C1118" s="23" t="s">
        <v>620</v>
      </c>
      <c r="D1118" s="123">
        <f>SUMIF(B$3:B$3844,B1118,M$3:M$3844)/(SUMIF(B$3:B$3844,B1118,J$3:J$3844))</f>
        <v>0.72335604859089875</v>
      </c>
      <c r="E1118" s="23">
        <v>35157</v>
      </c>
      <c r="F1118" s="46" t="s">
        <v>743</v>
      </c>
      <c r="G1118" s="117"/>
      <c r="H1118" s="117"/>
      <c r="I1118" s="41">
        <v>428</v>
      </c>
      <c r="J1118" s="41">
        <v>1041</v>
      </c>
      <c r="K1118" s="20"/>
      <c r="L1118" s="20"/>
      <c r="M1118" s="110">
        <f>IF(L1118="",I1118,(MIN(J1118,(L1118*1.6*J1118))))</f>
        <v>428</v>
      </c>
      <c r="N1118" s="111">
        <f>IF(M1118=0,0,(M1118/J1118))</f>
        <v>0.41114313160422672</v>
      </c>
    </row>
    <row r="1119" spans="2:14">
      <c r="B1119" s="72">
        <v>127591</v>
      </c>
      <c r="C1119" s="47" t="s">
        <v>620</v>
      </c>
      <c r="D1119" s="123">
        <f>SUMIF(B$3:B$3844,B1119,M$3:M$3844)/(SUMIF(B$3:B$3844,B1119,J$3:J$3844))</f>
        <v>0.72335604859089875</v>
      </c>
      <c r="E1119" s="47">
        <v>35180</v>
      </c>
      <c r="F1119" s="48" t="s">
        <v>744</v>
      </c>
      <c r="G1119" s="117"/>
      <c r="H1119" s="117"/>
      <c r="I1119" s="40"/>
      <c r="J1119" s="40">
        <v>555</v>
      </c>
      <c r="K1119" s="20">
        <v>2015</v>
      </c>
      <c r="L1119" s="20">
        <v>59.14</v>
      </c>
      <c r="M1119" s="110">
        <f>IF(L1119="",I1119,(MIN(J1119,(L1119*1.6*J1119))))</f>
        <v>555</v>
      </c>
      <c r="N1119" s="111">
        <f>IF(M1119=0,0,(M1119/J1119))</f>
        <v>1</v>
      </c>
    </row>
    <row r="1120" spans="2:14">
      <c r="B1120" s="73">
        <v>127591</v>
      </c>
      <c r="C1120" s="23" t="s">
        <v>620</v>
      </c>
      <c r="D1120" s="123">
        <f>SUMIF(B$3:B$3844,B1120,M$3:M$3844)/(SUMIF(B$3:B$3844,B1120,J$3:J$3844))</f>
        <v>0.72335604859089875</v>
      </c>
      <c r="E1120" s="23">
        <v>35058</v>
      </c>
      <c r="F1120" s="46" t="s">
        <v>745</v>
      </c>
      <c r="G1120" s="117"/>
      <c r="H1120" s="117"/>
      <c r="I1120" s="41"/>
      <c r="J1120" s="41">
        <v>398</v>
      </c>
      <c r="K1120" s="20">
        <v>2015</v>
      </c>
      <c r="L1120" s="20">
        <v>59.14</v>
      </c>
      <c r="M1120" s="110">
        <f>IF(L1120="",I1120,(MIN(J1120,(L1120*1.6*J1120))))</f>
        <v>398</v>
      </c>
      <c r="N1120" s="111">
        <f>IF(M1120=0,0,(M1120/J1120))</f>
        <v>1</v>
      </c>
    </row>
    <row r="1121" spans="2:14">
      <c r="B1121" s="72">
        <v>127591</v>
      </c>
      <c r="C1121" s="47" t="s">
        <v>620</v>
      </c>
      <c r="D1121" s="123">
        <f>SUMIF(B$3:B$3844,B1121,M$3:M$3844)/(SUMIF(B$3:B$3844,B1121,J$3:J$3844))</f>
        <v>0.72335604859089875</v>
      </c>
      <c r="E1121" s="47">
        <v>35044</v>
      </c>
      <c r="F1121" s="48" t="s">
        <v>746</v>
      </c>
      <c r="G1121" s="117"/>
      <c r="H1121" s="117"/>
      <c r="I1121" s="40"/>
      <c r="J1121" s="40">
        <v>396</v>
      </c>
      <c r="K1121" s="20">
        <v>2015</v>
      </c>
      <c r="L1121" s="20">
        <v>59.14</v>
      </c>
      <c r="M1121" s="110">
        <f>IF(L1121="",I1121,(MIN(J1121,(L1121*1.6*J1121))))</f>
        <v>396</v>
      </c>
      <c r="N1121" s="111">
        <f>IF(M1121=0,0,(M1121/J1121))</f>
        <v>1</v>
      </c>
    </row>
    <row r="1122" spans="2:14">
      <c r="B1122" s="73">
        <v>127591</v>
      </c>
      <c r="C1122" s="23" t="s">
        <v>620</v>
      </c>
      <c r="D1122" s="123">
        <f>SUMIF(B$3:B$3844,B1122,M$3:M$3844)/(SUMIF(B$3:B$3844,B1122,J$3:J$3844))</f>
        <v>0.72335604859089875</v>
      </c>
      <c r="E1122" s="23">
        <v>35128</v>
      </c>
      <c r="F1122" s="46" t="s">
        <v>747</v>
      </c>
      <c r="G1122" s="117"/>
      <c r="H1122" s="117"/>
      <c r="I1122" s="41"/>
      <c r="J1122" s="41">
        <v>1101</v>
      </c>
      <c r="K1122" s="20">
        <v>2015</v>
      </c>
      <c r="L1122" s="20">
        <v>59.14</v>
      </c>
      <c r="M1122" s="110">
        <f>IF(L1122="",I1122,(MIN(J1122,(L1122*1.6*J1122))))</f>
        <v>1101</v>
      </c>
      <c r="N1122" s="111">
        <f>IF(M1122=0,0,(M1122/J1122))</f>
        <v>1</v>
      </c>
    </row>
    <row r="1123" spans="2:14">
      <c r="B1123" s="72">
        <v>127591</v>
      </c>
      <c r="C1123" s="47" t="s">
        <v>620</v>
      </c>
      <c r="D1123" s="123">
        <f>SUMIF(B$3:B$3844,B1123,M$3:M$3844)/(SUMIF(B$3:B$3844,B1123,J$3:J$3844))</f>
        <v>0.72335604859089875</v>
      </c>
      <c r="E1123" s="47">
        <v>35036</v>
      </c>
      <c r="F1123" s="48" t="s">
        <v>748</v>
      </c>
      <c r="G1123" s="117"/>
      <c r="H1123" s="117"/>
      <c r="I1123" s="40"/>
      <c r="J1123" s="40">
        <v>823</v>
      </c>
      <c r="K1123" s="20">
        <v>2015</v>
      </c>
      <c r="L1123" s="20">
        <v>59.14</v>
      </c>
      <c r="M1123" s="110">
        <f>IF(L1123="",I1123,(MIN(J1123,(L1123*1.6*J1123))))</f>
        <v>823</v>
      </c>
      <c r="N1123" s="111">
        <f>IF(M1123=0,0,(M1123/J1123))</f>
        <v>1</v>
      </c>
    </row>
    <row r="1124" spans="2:14">
      <c r="B1124" s="73">
        <v>127591</v>
      </c>
      <c r="C1124" s="23" t="s">
        <v>620</v>
      </c>
      <c r="D1124" s="123">
        <f>SUMIF(B$3:B$3844,B1124,M$3:M$3844)/(SUMIF(B$3:B$3844,B1124,J$3:J$3844))</f>
        <v>0.72335604859089875</v>
      </c>
      <c r="E1124" s="23">
        <v>35135</v>
      </c>
      <c r="F1124" s="46" t="s">
        <v>749</v>
      </c>
      <c r="G1124" s="117"/>
      <c r="H1124" s="117"/>
      <c r="I1124" s="41">
        <v>308</v>
      </c>
      <c r="J1124" s="41">
        <v>642</v>
      </c>
      <c r="K1124" s="20"/>
      <c r="L1124" s="20"/>
      <c r="M1124" s="110">
        <f>IF(L1124="",I1124,(MIN(J1124,(L1124*1.6*J1124))))</f>
        <v>308</v>
      </c>
      <c r="N1124" s="111">
        <f>IF(M1124=0,0,(M1124/J1124))</f>
        <v>0.47975077881619937</v>
      </c>
    </row>
    <row r="1125" spans="2:14">
      <c r="B1125" s="72">
        <v>127591</v>
      </c>
      <c r="C1125" s="47" t="s">
        <v>620</v>
      </c>
      <c r="D1125" s="123">
        <f>SUMIF(B$3:B$3844,B1125,M$3:M$3844)/(SUMIF(B$3:B$3844,B1125,J$3:J$3844))</f>
        <v>0.72335604859089875</v>
      </c>
      <c r="E1125" s="47">
        <v>35194</v>
      </c>
      <c r="F1125" s="48" t="s">
        <v>750</v>
      </c>
      <c r="G1125" s="117"/>
      <c r="H1125" s="117"/>
      <c r="I1125" s="40">
        <v>187</v>
      </c>
      <c r="J1125" s="40">
        <v>531</v>
      </c>
      <c r="K1125" s="20"/>
      <c r="L1125" s="20"/>
      <c r="M1125" s="110">
        <f>IF(L1125="",I1125,(MIN(J1125,(L1125*1.6*J1125))))</f>
        <v>187</v>
      </c>
      <c r="N1125" s="111">
        <f>IF(M1125=0,0,(M1125/J1125))</f>
        <v>0.35216572504708099</v>
      </c>
    </row>
    <row r="1126" spans="2:14">
      <c r="B1126" s="73">
        <v>127591</v>
      </c>
      <c r="C1126" s="23" t="s">
        <v>620</v>
      </c>
      <c r="D1126" s="123">
        <f>SUMIF(B$3:B$3844,B1126,M$3:M$3844)/(SUMIF(B$3:B$3844,B1126,J$3:J$3844))</f>
        <v>0.72335604859089875</v>
      </c>
      <c r="E1126" s="23">
        <v>35186</v>
      </c>
      <c r="F1126" s="46" t="s">
        <v>751</v>
      </c>
      <c r="G1126" s="117"/>
      <c r="H1126" s="117"/>
      <c r="I1126" s="41">
        <v>1153</v>
      </c>
      <c r="J1126" s="41">
        <v>2783</v>
      </c>
      <c r="K1126" s="20"/>
      <c r="L1126" s="20"/>
      <c r="M1126" s="110">
        <f>IF(L1126="",I1126,(MIN(J1126,(L1126*1.6*J1126))))</f>
        <v>1153</v>
      </c>
      <c r="N1126" s="111">
        <f>IF(M1126=0,0,(M1126/J1126))</f>
        <v>0.414301113905857</v>
      </c>
    </row>
    <row r="1127" spans="2:14">
      <c r="B1127" s="72">
        <v>127591</v>
      </c>
      <c r="C1127" s="47" t="s">
        <v>620</v>
      </c>
      <c r="D1127" s="123">
        <f>SUMIF(B$3:B$3844,B1127,M$3:M$3844)/(SUMIF(B$3:B$3844,B1127,J$3:J$3844))</f>
        <v>0.72335604859089875</v>
      </c>
      <c r="E1127" s="47">
        <v>16067855</v>
      </c>
      <c r="F1127" s="48" t="s">
        <v>752</v>
      </c>
      <c r="G1127" s="117"/>
      <c r="H1127" s="117"/>
      <c r="I1127" s="40"/>
      <c r="J1127" s="40">
        <v>444</v>
      </c>
      <c r="K1127" s="20">
        <v>2015</v>
      </c>
      <c r="L1127" s="20">
        <v>59.14</v>
      </c>
      <c r="M1127" s="110">
        <f>IF(L1127="",I1127,(MIN(J1127,(L1127*1.6*J1127))))</f>
        <v>444</v>
      </c>
      <c r="N1127" s="111">
        <f>IF(M1127=0,0,(M1127/J1127))</f>
        <v>1</v>
      </c>
    </row>
    <row r="1128" spans="2:14">
      <c r="B1128" s="73">
        <v>127591</v>
      </c>
      <c r="C1128" s="23" t="s">
        <v>620</v>
      </c>
      <c r="D1128" s="123">
        <f>SUMIF(B$3:B$3844,B1128,M$3:M$3844)/(SUMIF(B$3:B$3844,B1128,J$3:J$3844))</f>
        <v>0.72335604859089875</v>
      </c>
      <c r="E1128" s="23">
        <v>35190</v>
      </c>
      <c r="F1128" s="46" t="s">
        <v>753</v>
      </c>
      <c r="G1128" s="117"/>
      <c r="H1128" s="117"/>
      <c r="I1128" s="41">
        <v>231</v>
      </c>
      <c r="J1128" s="41">
        <v>598</v>
      </c>
      <c r="K1128" s="20"/>
      <c r="L1128" s="20"/>
      <c r="M1128" s="110">
        <f>IF(L1128="",I1128,(MIN(J1128,(L1128*1.6*J1128))))</f>
        <v>231</v>
      </c>
      <c r="N1128" s="111">
        <f>IF(M1128=0,0,(M1128/J1128))</f>
        <v>0.38628762541806022</v>
      </c>
    </row>
    <row r="1129" spans="2:14">
      <c r="B1129" s="72">
        <v>127591</v>
      </c>
      <c r="C1129" s="47" t="s">
        <v>620</v>
      </c>
      <c r="D1129" s="123">
        <f>SUMIF(B$3:B$3844,B1129,M$3:M$3844)/(SUMIF(B$3:B$3844,B1129,J$3:J$3844))</f>
        <v>0.72335604859089875</v>
      </c>
      <c r="E1129" s="47">
        <v>35075</v>
      </c>
      <c r="F1129" s="48" t="s">
        <v>754</v>
      </c>
      <c r="G1129" s="117"/>
      <c r="H1129" s="117"/>
      <c r="I1129" s="40"/>
      <c r="J1129" s="40">
        <v>443</v>
      </c>
      <c r="K1129" s="20">
        <v>2015</v>
      </c>
      <c r="L1129" s="20">
        <v>59.14</v>
      </c>
      <c r="M1129" s="110">
        <f>IF(L1129="",I1129,(MIN(J1129,(L1129*1.6*J1129))))</f>
        <v>443</v>
      </c>
      <c r="N1129" s="111">
        <f>IF(M1129=0,0,(M1129/J1129))</f>
        <v>1</v>
      </c>
    </row>
    <row r="1130" spans="2:14">
      <c r="B1130" s="73">
        <v>127591</v>
      </c>
      <c r="C1130" s="23" t="s">
        <v>620</v>
      </c>
      <c r="D1130" s="123">
        <f>SUMIF(B$3:B$3844,B1130,M$3:M$3844)/(SUMIF(B$3:B$3844,B1130,J$3:J$3844))</f>
        <v>0.72335604859089875</v>
      </c>
      <c r="E1130" s="23">
        <v>35185</v>
      </c>
      <c r="F1130" s="46" t="s">
        <v>755</v>
      </c>
      <c r="G1130" s="117"/>
      <c r="H1130" s="117"/>
      <c r="I1130" s="41"/>
      <c r="J1130" s="41">
        <v>535</v>
      </c>
      <c r="K1130" s="20">
        <v>2015</v>
      </c>
      <c r="L1130" s="20">
        <v>59.14</v>
      </c>
      <c r="M1130" s="110">
        <f>IF(L1130="",I1130,(MIN(J1130,(L1130*1.6*J1130))))</f>
        <v>535</v>
      </c>
      <c r="N1130" s="111">
        <f>IF(M1130=0,0,(M1130/J1130))</f>
        <v>1</v>
      </c>
    </row>
    <row r="1131" spans="2:14">
      <c r="B1131" s="72">
        <v>127591</v>
      </c>
      <c r="C1131" s="47" t="s">
        <v>620</v>
      </c>
      <c r="D1131" s="123">
        <f>SUMIF(B$3:B$3844,B1131,M$3:M$3844)/(SUMIF(B$3:B$3844,B1131,J$3:J$3844))</f>
        <v>0.72335604859089875</v>
      </c>
      <c r="E1131" s="47">
        <v>35118</v>
      </c>
      <c r="F1131" s="48" t="s">
        <v>756</v>
      </c>
      <c r="G1131" s="117"/>
      <c r="H1131" s="117"/>
      <c r="I1131" s="40"/>
      <c r="J1131" s="40">
        <v>750</v>
      </c>
      <c r="K1131" s="20">
        <v>2015</v>
      </c>
      <c r="L1131" s="20">
        <v>59.14</v>
      </c>
      <c r="M1131" s="110">
        <f>IF(L1131="",I1131,(MIN(J1131,(L1131*1.6*J1131))))</f>
        <v>750</v>
      </c>
      <c r="N1131" s="111">
        <f>IF(M1131=0,0,(M1131/J1131))</f>
        <v>1</v>
      </c>
    </row>
    <row r="1132" spans="2:14">
      <c r="B1132" s="73">
        <v>127591</v>
      </c>
      <c r="C1132" s="23" t="s">
        <v>620</v>
      </c>
      <c r="D1132" s="123">
        <f>SUMIF(B$3:B$3844,B1132,M$3:M$3844)/(SUMIF(B$3:B$3844,B1132,J$3:J$3844))</f>
        <v>0.72335604859089875</v>
      </c>
      <c r="E1132" s="23">
        <v>35028</v>
      </c>
      <c r="F1132" s="46" t="s">
        <v>757</v>
      </c>
      <c r="G1132" s="117"/>
      <c r="H1132" s="117"/>
      <c r="I1132" s="41"/>
      <c r="J1132" s="41">
        <v>425</v>
      </c>
      <c r="K1132" s="20">
        <v>2015</v>
      </c>
      <c r="L1132" s="20">
        <v>59.14</v>
      </c>
      <c r="M1132" s="110">
        <f>IF(L1132="",I1132,(MIN(J1132,(L1132*1.6*J1132))))</f>
        <v>425</v>
      </c>
      <c r="N1132" s="111">
        <f>IF(M1132=0,0,(M1132/J1132))</f>
        <v>1</v>
      </c>
    </row>
    <row r="1133" spans="2:14">
      <c r="B1133" s="72">
        <v>127591</v>
      </c>
      <c r="C1133" s="47" t="s">
        <v>620</v>
      </c>
      <c r="D1133" s="123">
        <f>SUMIF(B$3:B$3844,B1133,M$3:M$3844)/(SUMIF(B$3:B$3844,B1133,J$3:J$3844))</f>
        <v>0.72335604859089875</v>
      </c>
      <c r="E1133" s="47">
        <v>35069</v>
      </c>
      <c r="F1133" s="48" t="s">
        <v>758</v>
      </c>
      <c r="G1133" s="117"/>
      <c r="H1133" s="117"/>
      <c r="I1133" s="40">
        <v>204</v>
      </c>
      <c r="J1133" s="40">
        <v>1504</v>
      </c>
      <c r="K1133" s="20"/>
      <c r="L1133" s="20"/>
      <c r="M1133" s="110">
        <f>IF(L1133="",I1133,(MIN(J1133,(L1133*1.6*J1133))))</f>
        <v>204</v>
      </c>
      <c r="N1133" s="111">
        <f>IF(M1133=0,0,(M1133/J1133))</f>
        <v>0.13563829787234041</v>
      </c>
    </row>
    <row r="1134" spans="2:14">
      <c r="B1134" s="73">
        <v>127591</v>
      </c>
      <c r="C1134" s="23" t="s">
        <v>620</v>
      </c>
      <c r="D1134" s="123">
        <f>SUMIF(B$3:B$3844,B1134,M$3:M$3844)/(SUMIF(B$3:B$3844,B1134,J$3:J$3844))</f>
        <v>0.72335604859089875</v>
      </c>
      <c r="E1134" s="23">
        <v>35087</v>
      </c>
      <c r="F1134" s="46" t="s">
        <v>759</v>
      </c>
      <c r="G1134" s="117"/>
      <c r="H1134" s="117"/>
      <c r="I1134" s="41"/>
      <c r="J1134" s="41">
        <v>304</v>
      </c>
      <c r="K1134" s="20">
        <v>2015</v>
      </c>
      <c r="L1134" s="20">
        <v>59.14</v>
      </c>
      <c r="M1134" s="110">
        <f>IF(L1134="",I1134,(MIN(J1134,(L1134*1.6*J1134))))</f>
        <v>304</v>
      </c>
      <c r="N1134" s="111">
        <f>IF(M1134=0,0,(M1134/J1134))</f>
        <v>1</v>
      </c>
    </row>
    <row r="1135" spans="2:14">
      <c r="B1135" s="72">
        <v>127591</v>
      </c>
      <c r="C1135" s="47" t="s">
        <v>620</v>
      </c>
      <c r="D1135" s="123">
        <f>SUMIF(B$3:B$3844,B1135,M$3:M$3844)/(SUMIF(B$3:B$3844,B1135,J$3:J$3844))</f>
        <v>0.72335604859089875</v>
      </c>
      <c r="E1135" s="47">
        <v>35064</v>
      </c>
      <c r="F1135" s="48" t="s">
        <v>760</v>
      </c>
      <c r="G1135" s="117"/>
      <c r="H1135" s="117"/>
      <c r="I1135" s="40"/>
      <c r="J1135" s="40">
        <v>334</v>
      </c>
      <c r="K1135" s="20">
        <v>2015</v>
      </c>
      <c r="L1135" s="20">
        <v>59.14</v>
      </c>
      <c r="M1135" s="110">
        <f>IF(L1135="",I1135,(MIN(J1135,(L1135*1.6*J1135))))</f>
        <v>334</v>
      </c>
      <c r="N1135" s="111">
        <f>IF(M1135=0,0,(M1135/J1135))</f>
        <v>1</v>
      </c>
    </row>
    <row r="1136" spans="2:14">
      <c r="B1136" s="73">
        <v>127591</v>
      </c>
      <c r="C1136" s="23" t="s">
        <v>620</v>
      </c>
      <c r="D1136" s="123">
        <f>SUMIF(B$3:B$3844,B1136,M$3:M$3844)/(SUMIF(B$3:B$3844,B1136,J$3:J$3844))</f>
        <v>0.72335604859089875</v>
      </c>
      <c r="E1136" s="23">
        <v>35101</v>
      </c>
      <c r="F1136" s="46" t="s">
        <v>761</v>
      </c>
      <c r="G1136" s="117"/>
      <c r="H1136" s="117"/>
      <c r="I1136" s="41"/>
      <c r="J1136" s="41">
        <v>1709</v>
      </c>
      <c r="K1136" s="20">
        <v>2015</v>
      </c>
      <c r="L1136" s="20">
        <v>59.14</v>
      </c>
      <c r="M1136" s="110">
        <f>IF(L1136="",I1136,(MIN(J1136,(L1136*1.6*J1136))))</f>
        <v>1709</v>
      </c>
      <c r="N1136" s="111">
        <f>IF(M1136=0,0,(M1136/J1136))</f>
        <v>1</v>
      </c>
    </row>
    <row r="1137" spans="2:14">
      <c r="B1137" s="72">
        <v>127591</v>
      </c>
      <c r="C1137" s="47" t="s">
        <v>620</v>
      </c>
      <c r="D1137" s="123">
        <f>SUMIF(B$3:B$3844,B1137,M$3:M$3844)/(SUMIF(B$3:B$3844,B1137,J$3:J$3844))</f>
        <v>0.72335604859089875</v>
      </c>
      <c r="E1137" s="47">
        <v>35148</v>
      </c>
      <c r="F1137" s="48" t="s">
        <v>762</v>
      </c>
      <c r="G1137" s="117"/>
      <c r="H1137" s="117"/>
      <c r="I1137" s="40"/>
      <c r="J1137" s="40">
        <v>532</v>
      </c>
      <c r="K1137" s="20">
        <v>2015</v>
      </c>
      <c r="L1137" s="20">
        <v>59.14</v>
      </c>
      <c r="M1137" s="110">
        <f>IF(L1137="",I1137,(MIN(J1137,(L1137*1.6*J1137))))</f>
        <v>532</v>
      </c>
      <c r="N1137" s="111">
        <f>IF(M1137=0,0,(M1137/J1137))</f>
        <v>1</v>
      </c>
    </row>
    <row r="1138" spans="2:14">
      <c r="B1138" s="73">
        <v>127591</v>
      </c>
      <c r="C1138" s="23" t="s">
        <v>620</v>
      </c>
      <c r="D1138" s="123">
        <f>SUMIF(B$3:B$3844,B1138,M$3:M$3844)/(SUMIF(B$3:B$3844,B1138,J$3:J$3844))</f>
        <v>0.72335604859089875</v>
      </c>
      <c r="E1138" s="23">
        <v>35178</v>
      </c>
      <c r="F1138" s="46" t="s">
        <v>763</v>
      </c>
      <c r="G1138" s="117"/>
      <c r="H1138" s="117"/>
      <c r="I1138" s="41"/>
      <c r="J1138" s="41">
        <v>582</v>
      </c>
      <c r="K1138" s="20">
        <v>2015</v>
      </c>
      <c r="L1138" s="20">
        <v>59.14</v>
      </c>
      <c r="M1138" s="110">
        <f>IF(L1138="",I1138,(MIN(J1138,(L1138*1.6*J1138))))</f>
        <v>582</v>
      </c>
      <c r="N1138" s="111">
        <f>IF(M1138=0,0,(M1138/J1138))</f>
        <v>1</v>
      </c>
    </row>
    <row r="1139" spans="2:14">
      <c r="B1139" s="72">
        <v>127591</v>
      </c>
      <c r="C1139" s="47" t="s">
        <v>620</v>
      </c>
      <c r="D1139" s="123">
        <f>SUMIF(B$3:B$3844,B1139,M$3:M$3844)/(SUMIF(B$3:B$3844,B1139,J$3:J$3844))</f>
        <v>0.72335604859089875</v>
      </c>
      <c r="E1139" s="47">
        <v>212667</v>
      </c>
      <c r="F1139" s="48" t="s">
        <v>764</v>
      </c>
      <c r="G1139" s="117"/>
      <c r="H1139" s="117"/>
      <c r="I1139" s="40">
        <v>369</v>
      </c>
      <c r="J1139" s="40">
        <v>865</v>
      </c>
      <c r="K1139" s="20"/>
      <c r="L1139" s="20"/>
      <c r="M1139" s="110">
        <f>IF(L1139="",I1139,(MIN(J1139,(L1139*1.6*J1139))))</f>
        <v>369</v>
      </c>
      <c r="N1139" s="111">
        <f>IF(M1139=0,0,(M1139/J1139))</f>
        <v>0.42658959537572255</v>
      </c>
    </row>
    <row r="1140" spans="2:14">
      <c r="B1140" s="73">
        <v>127591</v>
      </c>
      <c r="C1140" s="23" t="s">
        <v>620</v>
      </c>
      <c r="D1140" s="123">
        <f>SUMIF(B$3:B$3844,B1140,M$3:M$3844)/(SUMIF(B$3:B$3844,B1140,J$3:J$3844))</f>
        <v>0.72335604859089875</v>
      </c>
      <c r="E1140" s="23">
        <v>212669</v>
      </c>
      <c r="F1140" s="46" t="s">
        <v>765</v>
      </c>
      <c r="G1140" s="117"/>
      <c r="H1140" s="117"/>
      <c r="I1140" s="41">
        <v>555</v>
      </c>
      <c r="J1140" s="41">
        <v>1185</v>
      </c>
      <c r="K1140" s="20"/>
      <c r="L1140" s="20"/>
      <c r="M1140" s="110">
        <f>IF(L1140="",I1140,(MIN(J1140,(L1140*1.6*J1140))))</f>
        <v>555</v>
      </c>
      <c r="N1140" s="111">
        <f>IF(M1140=0,0,(M1140/J1140))</f>
        <v>0.46835443037974683</v>
      </c>
    </row>
    <row r="1141" spans="2:14">
      <c r="B1141" s="72">
        <v>127591</v>
      </c>
      <c r="C1141" s="47" t="s">
        <v>620</v>
      </c>
      <c r="D1141" s="123">
        <f>SUMIF(B$3:B$3844,B1141,M$3:M$3844)/(SUMIF(B$3:B$3844,B1141,J$3:J$3844))</f>
        <v>0.72335604859089875</v>
      </c>
      <c r="E1141" s="47">
        <v>35097</v>
      </c>
      <c r="F1141" s="48" t="s">
        <v>766</v>
      </c>
      <c r="G1141" s="117"/>
      <c r="H1141" s="117"/>
      <c r="I1141" s="40"/>
      <c r="J1141" s="40">
        <v>399</v>
      </c>
      <c r="K1141" s="20">
        <v>2015</v>
      </c>
      <c r="L1141" s="20">
        <v>59.14</v>
      </c>
      <c r="M1141" s="110">
        <f>IF(L1141="",I1141,(MIN(J1141,(L1141*1.6*J1141))))</f>
        <v>399</v>
      </c>
      <c r="N1141" s="111">
        <f>IF(M1141=0,0,(M1141/J1141))</f>
        <v>1</v>
      </c>
    </row>
    <row r="1142" spans="2:14">
      <c r="B1142" s="73">
        <v>127591</v>
      </c>
      <c r="C1142" s="23" t="s">
        <v>620</v>
      </c>
      <c r="D1142" s="123">
        <f>SUMIF(B$3:B$3844,B1142,M$3:M$3844)/(SUMIF(B$3:B$3844,B1142,J$3:J$3844))</f>
        <v>0.72335604859089875</v>
      </c>
      <c r="E1142" s="23">
        <v>16067854</v>
      </c>
      <c r="F1142" s="46" t="s">
        <v>767</v>
      </c>
      <c r="G1142" s="117"/>
      <c r="H1142" s="117"/>
      <c r="I1142" s="41">
        <v>379</v>
      </c>
      <c r="J1142" s="41">
        <v>821</v>
      </c>
      <c r="K1142" s="20"/>
      <c r="L1142" s="20"/>
      <c r="M1142" s="110">
        <f>IF(L1142="",I1142,(MIN(J1142,(L1142*1.6*J1142))))</f>
        <v>379</v>
      </c>
      <c r="N1142" s="111">
        <f>IF(M1142=0,0,(M1142/J1142))</f>
        <v>0.46163215590742995</v>
      </c>
    </row>
    <row r="1143" spans="2:14">
      <c r="B1143" s="72">
        <v>127591</v>
      </c>
      <c r="C1143" s="47" t="s">
        <v>620</v>
      </c>
      <c r="D1143" s="123">
        <f>SUMIF(B$3:B$3844,B1143,M$3:M$3844)/(SUMIF(B$3:B$3844,B1143,J$3:J$3844))</f>
        <v>0.72335604859089875</v>
      </c>
      <c r="E1143" s="47">
        <v>16072634</v>
      </c>
      <c r="F1143" s="48" t="s">
        <v>768</v>
      </c>
      <c r="G1143" s="117"/>
      <c r="H1143" s="117"/>
      <c r="I1143" s="40"/>
      <c r="J1143" s="40">
        <v>262</v>
      </c>
      <c r="K1143" s="20">
        <v>2015</v>
      </c>
      <c r="L1143" s="20">
        <v>59.14</v>
      </c>
      <c r="M1143" s="110">
        <f>IF(L1143="",I1143,(MIN(J1143,(L1143*1.6*J1143))))</f>
        <v>262</v>
      </c>
      <c r="N1143" s="111">
        <f>IF(M1143=0,0,(M1143/J1143))</f>
        <v>1</v>
      </c>
    </row>
    <row r="1144" spans="2:14">
      <c r="B1144" s="73">
        <v>127591</v>
      </c>
      <c r="C1144" s="23" t="s">
        <v>620</v>
      </c>
      <c r="D1144" s="123">
        <f>SUMIF(B$3:B$3844,B1144,M$3:M$3844)/(SUMIF(B$3:B$3844,B1144,J$3:J$3844))</f>
        <v>0.72335604859089875</v>
      </c>
      <c r="E1144" s="23">
        <v>35004</v>
      </c>
      <c r="F1144" s="46" t="s">
        <v>769</v>
      </c>
      <c r="G1144" s="117"/>
      <c r="H1144" s="117"/>
      <c r="I1144" s="41"/>
      <c r="J1144" s="41">
        <v>302</v>
      </c>
      <c r="K1144" s="20">
        <v>2015</v>
      </c>
      <c r="L1144" s="20">
        <v>59.14</v>
      </c>
      <c r="M1144" s="110">
        <f>IF(L1144="",I1144,(MIN(J1144,(L1144*1.6*J1144))))</f>
        <v>302</v>
      </c>
      <c r="N1144" s="111">
        <f>IF(M1144=0,0,(M1144/J1144))</f>
        <v>1</v>
      </c>
    </row>
    <row r="1145" spans="2:14">
      <c r="B1145" s="72">
        <v>127591</v>
      </c>
      <c r="C1145" s="47" t="s">
        <v>620</v>
      </c>
      <c r="D1145" s="123">
        <f>SUMIF(B$3:B$3844,B1145,M$3:M$3844)/(SUMIF(B$3:B$3844,B1145,J$3:J$3844))</f>
        <v>0.72335604859089875</v>
      </c>
      <c r="E1145" s="47">
        <v>35175</v>
      </c>
      <c r="F1145" s="48" t="s">
        <v>770</v>
      </c>
      <c r="G1145" s="117"/>
      <c r="H1145" s="117"/>
      <c r="I1145" s="40"/>
      <c r="J1145" s="40">
        <v>1509</v>
      </c>
      <c r="K1145" s="20">
        <v>2015</v>
      </c>
      <c r="L1145" s="20">
        <v>59.14</v>
      </c>
      <c r="M1145" s="110">
        <f>IF(L1145="",I1145,(MIN(J1145,(L1145*1.6*J1145))))</f>
        <v>1509</v>
      </c>
      <c r="N1145" s="111">
        <f>IF(M1145=0,0,(M1145/J1145))</f>
        <v>1</v>
      </c>
    </row>
    <row r="1146" spans="2:14">
      <c r="B1146" s="73">
        <v>127591</v>
      </c>
      <c r="C1146" s="23" t="s">
        <v>620</v>
      </c>
      <c r="D1146" s="123">
        <f>SUMIF(B$3:B$3844,B1146,M$3:M$3844)/(SUMIF(B$3:B$3844,B1146,J$3:J$3844))</f>
        <v>0.72335604859089875</v>
      </c>
      <c r="E1146" s="23">
        <v>16054992</v>
      </c>
      <c r="F1146" s="46" t="s">
        <v>771</v>
      </c>
      <c r="G1146" s="117"/>
      <c r="H1146" s="117"/>
      <c r="I1146" s="41"/>
      <c r="J1146" s="41">
        <v>1229</v>
      </c>
      <c r="K1146" s="20">
        <v>2015</v>
      </c>
      <c r="L1146" s="20">
        <v>59.14</v>
      </c>
      <c r="M1146" s="110">
        <f>IF(L1146="",I1146,(MIN(J1146,(L1146*1.6*J1146))))</f>
        <v>1229</v>
      </c>
      <c r="N1146" s="111">
        <f>IF(M1146=0,0,(M1146/J1146))</f>
        <v>1</v>
      </c>
    </row>
    <row r="1147" spans="2:14">
      <c r="B1147" s="72">
        <v>127591</v>
      </c>
      <c r="C1147" s="47" t="s">
        <v>620</v>
      </c>
      <c r="D1147" s="123">
        <f>SUMIF(B$3:B$3844,B1147,M$3:M$3844)/(SUMIF(B$3:B$3844,B1147,J$3:J$3844))</f>
        <v>0.72335604859089875</v>
      </c>
      <c r="E1147" s="47">
        <v>35147</v>
      </c>
      <c r="F1147" s="48" t="s">
        <v>772</v>
      </c>
      <c r="G1147" s="117"/>
      <c r="H1147" s="117"/>
      <c r="I1147" s="40"/>
      <c r="J1147" s="40">
        <v>519</v>
      </c>
      <c r="K1147" s="20">
        <v>2015</v>
      </c>
      <c r="L1147" s="20">
        <v>59.14</v>
      </c>
      <c r="M1147" s="110">
        <f>IF(L1147="",I1147,(MIN(J1147,(L1147*1.6*J1147))))</f>
        <v>519</v>
      </c>
      <c r="N1147" s="111">
        <f>IF(M1147=0,0,(M1147/J1147))</f>
        <v>1</v>
      </c>
    </row>
    <row r="1148" spans="2:14">
      <c r="B1148" s="73">
        <v>127591</v>
      </c>
      <c r="C1148" s="23" t="s">
        <v>620</v>
      </c>
      <c r="D1148" s="123">
        <f>SUMIF(B$3:B$3844,B1148,M$3:M$3844)/(SUMIF(B$3:B$3844,B1148,J$3:J$3844))</f>
        <v>0.72335604859089875</v>
      </c>
      <c r="E1148" s="23">
        <v>35053</v>
      </c>
      <c r="F1148" s="46" t="s">
        <v>773</v>
      </c>
      <c r="G1148" s="117"/>
      <c r="H1148" s="117"/>
      <c r="I1148" s="41"/>
      <c r="J1148" s="41">
        <v>1050</v>
      </c>
      <c r="K1148" s="20">
        <v>2015</v>
      </c>
      <c r="L1148" s="20">
        <v>59.14</v>
      </c>
      <c r="M1148" s="110">
        <f>IF(L1148="",I1148,(MIN(J1148,(L1148*1.6*J1148))))</f>
        <v>1050</v>
      </c>
      <c r="N1148" s="111">
        <f>IF(M1148=0,0,(M1148/J1148))</f>
        <v>1</v>
      </c>
    </row>
    <row r="1149" spans="2:14">
      <c r="B1149" s="72">
        <v>127591</v>
      </c>
      <c r="C1149" s="47" t="s">
        <v>620</v>
      </c>
      <c r="D1149" s="123">
        <f>SUMIF(B$3:B$3844,B1149,M$3:M$3844)/(SUMIF(B$3:B$3844,B1149,J$3:J$3844))</f>
        <v>0.72335604859089875</v>
      </c>
      <c r="E1149" s="47">
        <v>35187</v>
      </c>
      <c r="F1149" s="48" t="s">
        <v>774</v>
      </c>
      <c r="G1149" s="117"/>
      <c r="H1149" s="117"/>
      <c r="I1149" s="40"/>
      <c r="J1149" s="40">
        <v>649</v>
      </c>
      <c r="K1149" s="20">
        <v>2015</v>
      </c>
      <c r="L1149" s="20">
        <v>59.14</v>
      </c>
      <c r="M1149" s="110">
        <f>IF(L1149="",I1149,(MIN(J1149,(L1149*1.6*J1149))))</f>
        <v>649</v>
      </c>
      <c r="N1149" s="111">
        <f>IF(M1149=0,0,(M1149/J1149))</f>
        <v>1</v>
      </c>
    </row>
    <row r="1150" spans="2:14">
      <c r="B1150" s="73">
        <v>127591</v>
      </c>
      <c r="C1150" s="23" t="s">
        <v>620</v>
      </c>
      <c r="D1150" s="123">
        <f>SUMIF(B$3:B$3844,B1150,M$3:M$3844)/(SUMIF(B$3:B$3844,B1150,J$3:J$3844))</f>
        <v>0.72335604859089875</v>
      </c>
      <c r="E1150" s="23">
        <v>35109</v>
      </c>
      <c r="F1150" s="46" t="s">
        <v>775</v>
      </c>
      <c r="G1150" s="117"/>
      <c r="H1150" s="117"/>
      <c r="I1150" s="41"/>
      <c r="J1150" s="41">
        <v>817</v>
      </c>
      <c r="K1150" s="20">
        <v>2015</v>
      </c>
      <c r="L1150" s="20">
        <v>59.14</v>
      </c>
      <c r="M1150" s="110">
        <f>IF(L1150="",I1150,(MIN(J1150,(L1150*1.6*J1150))))</f>
        <v>817</v>
      </c>
      <c r="N1150" s="111">
        <f>IF(M1150=0,0,(M1150/J1150))</f>
        <v>1</v>
      </c>
    </row>
    <row r="1151" spans="2:14">
      <c r="B1151" s="72">
        <v>127591</v>
      </c>
      <c r="C1151" s="47" t="s">
        <v>620</v>
      </c>
      <c r="D1151" s="123">
        <f>SUMIF(B$3:B$3844,B1151,M$3:M$3844)/(SUMIF(B$3:B$3844,B1151,J$3:J$3844))</f>
        <v>0.72335604859089875</v>
      </c>
      <c r="E1151" s="47">
        <v>17004280</v>
      </c>
      <c r="F1151" s="48" t="s">
        <v>776</v>
      </c>
      <c r="G1151" s="117"/>
      <c r="H1151" s="117"/>
      <c r="I1151" s="40">
        <v>24</v>
      </c>
      <c r="J1151" s="40">
        <v>47</v>
      </c>
      <c r="K1151" s="20"/>
      <c r="L1151" s="20"/>
      <c r="M1151" s="110">
        <f>IF(L1151="",I1151,(MIN(J1151,(L1151*1.6*J1151))))</f>
        <v>24</v>
      </c>
      <c r="N1151" s="111">
        <f>IF(M1151=0,0,(M1151/J1151))</f>
        <v>0.51063829787234039</v>
      </c>
    </row>
    <row r="1152" spans="2:14">
      <c r="B1152" s="73">
        <v>127591</v>
      </c>
      <c r="C1152" s="23" t="s">
        <v>621</v>
      </c>
      <c r="D1152" s="123">
        <f>SUMIF(B$3:B$3844,B1152,M$3:M$3844)/(SUMIF(B$3:B$3844,B1152,J$3:J$3844))</f>
        <v>0.72335604859089875</v>
      </c>
      <c r="E1152" s="23">
        <v>35237</v>
      </c>
      <c r="F1152" s="46" t="s">
        <v>777</v>
      </c>
      <c r="G1152" s="117"/>
      <c r="H1152" s="117"/>
      <c r="I1152" s="44"/>
      <c r="J1152" s="44">
        <v>228</v>
      </c>
      <c r="K1152" s="22"/>
      <c r="L1152" s="22"/>
      <c r="M1152" s="110">
        <f>IF(L1152="",I1152,(MIN(J1152,(L1152*1.6*J1152))))</f>
        <v>0</v>
      </c>
      <c r="N1152" s="111">
        <f>IF(M1152=0,0,(M1152/J1152))</f>
        <v>0</v>
      </c>
    </row>
    <row r="1153" spans="2:14">
      <c r="B1153" s="73">
        <v>127641</v>
      </c>
      <c r="C1153" s="23" t="s">
        <v>778</v>
      </c>
      <c r="D1153" s="123">
        <f>SUMIF(B$3:B$3844,B1153,M$3:M$3844)/(SUMIF(B$3:B$3844,B1153,J$3:J$3844))</f>
        <v>0.71662478105247129</v>
      </c>
      <c r="E1153" s="23">
        <v>35503</v>
      </c>
      <c r="F1153" s="46" t="s">
        <v>779</v>
      </c>
      <c r="G1153" s="23"/>
      <c r="H1153" s="23"/>
      <c r="I1153" s="41">
        <v>253</v>
      </c>
      <c r="J1153" s="41">
        <v>538</v>
      </c>
      <c r="K1153" s="20"/>
      <c r="L1153" s="20"/>
      <c r="M1153" s="110">
        <f>IF(L1153="",I1153,(MIN(J1153,(L1153*1.6*J1153))))</f>
        <v>253</v>
      </c>
      <c r="N1153" s="111">
        <f>IF(M1153=0,0,(M1153/J1153))</f>
        <v>0.47026022304832715</v>
      </c>
    </row>
    <row r="1154" spans="2:14">
      <c r="B1154" s="72">
        <v>127641</v>
      </c>
      <c r="C1154" s="47" t="s">
        <v>778</v>
      </c>
      <c r="D1154" s="123">
        <f>SUMIF(B$3:B$3844,B1154,M$3:M$3844)/(SUMIF(B$3:B$3844,B1154,J$3:J$3844))</f>
        <v>0.71662478105247129</v>
      </c>
      <c r="E1154" s="47">
        <v>35548</v>
      </c>
      <c r="F1154" s="48" t="s">
        <v>780</v>
      </c>
      <c r="G1154" s="47"/>
      <c r="H1154" s="47"/>
      <c r="I1154" s="40"/>
      <c r="J1154" s="40">
        <v>753</v>
      </c>
      <c r="K1154" s="20">
        <v>2015</v>
      </c>
      <c r="L1154" s="20">
        <v>66.81</v>
      </c>
      <c r="M1154" s="110">
        <f>IF(L1154="",I1154,(MIN(J1154,(L1154*1.6*J1154))))</f>
        <v>753</v>
      </c>
      <c r="N1154" s="111">
        <f>IF(M1154=0,0,(M1154/J1154))</f>
        <v>1</v>
      </c>
    </row>
    <row r="1155" spans="2:14">
      <c r="B1155" s="73">
        <v>127641</v>
      </c>
      <c r="C1155" s="23" t="s">
        <v>778</v>
      </c>
      <c r="D1155" s="123">
        <f>SUMIF(B$3:B$3844,B1155,M$3:M$3844)/(SUMIF(B$3:B$3844,B1155,J$3:J$3844))</f>
        <v>0.71662478105247129</v>
      </c>
      <c r="E1155" s="23">
        <v>35549</v>
      </c>
      <c r="F1155" s="46" t="s">
        <v>781</v>
      </c>
      <c r="G1155" s="23"/>
      <c r="H1155" s="23"/>
      <c r="I1155" s="41"/>
      <c r="J1155" s="41">
        <v>1034</v>
      </c>
      <c r="K1155" s="20">
        <v>2015</v>
      </c>
      <c r="L1155" s="20">
        <v>70.66</v>
      </c>
      <c r="M1155" s="110">
        <f>IF(L1155="",I1155,(MIN(J1155,(L1155*1.6*J1155))))</f>
        <v>1034</v>
      </c>
      <c r="N1155" s="111">
        <f>IF(M1155=0,0,(M1155/J1155))</f>
        <v>1</v>
      </c>
    </row>
    <row r="1156" spans="2:14">
      <c r="B1156" s="72">
        <v>127641</v>
      </c>
      <c r="C1156" s="47" t="s">
        <v>778</v>
      </c>
      <c r="D1156" s="123">
        <f>SUMIF(B$3:B$3844,B1156,M$3:M$3844)/(SUMIF(B$3:B$3844,B1156,J$3:J$3844))</f>
        <v>0.71662478105247129</v>
      </c>
      <c r="E1156" s="47">
        <v>35552</v>
      </c>
      <c r="F1156" s="48" t="s">
        <v>782</v>
      </c>
      <c r="G1156" s="47"/>
      <c r="H1156" s="47"/>
      <c r="I1156" s="40">
        <v>481</v>
      </c>
      <c r="J1156" s="40">
        <v>959</v>
      </c>
      <c r="K1156" s="20"/>
      <c r="L1156" s="20"/>
      <c r="M1156" s="110">
        <f>IF(L1156="",I1156,(MIN(J1156,(L1156*1.6*J1156))))</f>
        <v>481</v>
      </c>
      <c r="N1156" s="111">
        <f>IF(M1156=0,0,(M1156/J1156))</f>
        <v>0.50156412930135563</v>
      </c>
    </row>
    <row r="1157" spans="2:14">
      <c r="B1157" s="73">
        <v>127641</v>
      </c>
      <c r="C1157" s="23" t="s">
        <v>778</v>
      </c>
      <c r="D1157" s="123">
        <f>SUMIF(B$3:B$3844,B1157,M$3:M$3844)/(SUMIF(B$3:B$3844,B1157,J$3:J$3844))</f>
        <v>0.71662478105247129</v>
      </c>
      <c r="E1157" s="23">
        <v>224587</v>
      </c>
      <c r="F1157" s="46" t="s">
        <v>783</v>
      </c>
      <c r="G1157" s="23"/>
      <c r="H1157" s="23"/>
      <c r="I1157" s="41">
        <v>487</v>
      </c>
      <c r="J1157" s="41">
        <v>958</v>
      </c>
      <c r="K1157" s="20"/>
      <c r="L1157" s="20"/>
      <c r="M1157" s="110">
        <f>IF(L1157="",I1157,(MIN(J1157,(L1157*1.6*J1157))))</f>
        <v>487</v>
      </c>
      <c r="N1157" s="111">
        <f>IF(M1157=0,0,(M1157/J1157))</f>
        <v>0.50835073068893533</v>
      </c>
    </row>
    <row r="1158" spans="2:14">
      <c r="B1158" s="72">
        <v>127641</v>
      </c>
      <c r="C1158" s="47" t="s">
        <v>778</v>
      </c>
      <c r="D1158" s="123">
        <f>SUMIF(B$3:B$3844,B1158,M$3:M$3844)/(SUMIF(B$3:B$3844,B1158,J$3:J$3844))</f>
        <v>0.71662478105247129</v>
      </c>
      <c r="E1158" s="47">
        <v>35567</v>
      </c>
      <c r="F1158" s="48" t="s">
        <v>784</v>
      </c>
      <c r="G1158" s="47"/>
      <c r="H1158" s="47"/>
      <c r="I1158" s="40">
        <v>293</v>
      </c>
      <c r="J1158" s="40">
        <v>452</v>
      </c>
      <c r="K1158" s="20"/>
      <c r="L1158" s="20"/>
      <c r="M1158" s="110">
        <f>IF(L1158="",I1158,(MIN(J1158,(L1158*1.6*J1158))))</f>
        <v>293</v>
      </c>
      <c r="N1158" s="111">
        <f>IF(M1158=0,0,(M1158/J1158))</f>
        <v>0.64823008849557517</v>
      </c>
    </row>
    <row r="1159" spans="2:14">
      <c r="B1159" s="73">
        <v>127641</v>
      </c>
      <c r="C1159" s="23" t="s">
        <v>778</v>
      </c>
      <c r="D1159" s="123">
        <f>SUMIF(B$3:B$3844,B1159,M$3:M$3844)/(SUMIF(B$3:B$3844,B1159,J$3:J$3844))</f>
        <v>0.71662478105247129</v>
      </c>
      <c r="E1159" s="23">
        <v>35514</v>
      </c>
      <c r="F1159" s="46" t="s">
        <v>297</v>
      </c>
      <c r="G1159" s="23"/>
      <c r="H1159" s="23"/>
      <c r="I1159" s="41"/>
      <c r="J1159" s="41">
        <v>575</v>
      </c>
      <c r="K1159" s="20">
        <v>2015</v>
      </c>
      <c r="L1159" s="20">
        <v>74.16</v>
      </c>
      <c r="M1159" s="110">
        <f>IF(L1159="",I1159,(MIN(J1159,(L1159*1.6*J1159))))</f>
        <v>575</v>
      </c>
      <c r="N1159" s="111">
        <f>IF(M1159=0,0,(M1159/J1159))</f>
        <v>1</v>
      </c>
    </row>
    <row r="1160" spans="2:14">
      <c r="B1160" s="72">
        <v>127641</v>
      </c>
      <c r="C1160" s="47" t="s">
        <v>778</v>
      </c>
      <c r="D1160" s="123">
        <f>SUMIF(B$3:B$3844,B1160,M$3:M$3844)/(SUMIF(B$3:B$3844,B1160,J$3:J$3844))</f>
        <v>0.71662478105247129</v>
      </c>
      <c r="E1160" s="47">
        <v>35493</v>
      </c>
      <c r="F1160" s="48" t="s">
        <v>785</v>
      </c>
      <c r="G1160" s="47"/>
      <c r="H1160" s="47"/>
      <c r="I1160" s="40">
        <v>211</v>
      </c>
      <c r="J1160" s="40">
        <v>538</v>
      </c>
      <c r="K1160" s="20"/>
      <c r="L1160" s="20"/>
      <c r="M1160" s="110">
        <f>IF(L1160="",I1160,(MIN(J1160,(L1160*1.6*J1160))))</f>
        <v>211</v>
      </c>
      <c r="N1160" s="111">
        <f>IF(M1160=0,0,(M1160/J1160))</f>
        <v>0.39219330855018586</v>
      </c>
    </row>
    <row r="1161" spans="2:14">
      <c r="B1161" s="73">
        <v>127641</v>
      </c>
      <c r="C1161" s="23" t="s">
        <v>778</v>
      </c>
      <c r="D1161" s="123">
        <f>SUMIF(B$3:B$3844,B1161,M$3:M$3844)/(SUMIF(B$3:B$3844,B1161,J$3:J$3844))</f>
        <v>0.71662478105247129</v>
      </c>
      <c r="E1161" s="23">
        <v>35518</v>
      </c>
      <c r="F1161" s="46" t="s">
        <v>786</v>
      </c>
      <c r="G1161" s="23"/>
      <c r="H1161" s="23"/>
      <c r="I1161" s="41"/>
      <c r="J1161" s="41">
        <v>556</v>
      </c>
      <c r="K1161" s="20">
        <v>2015</v>
      </c>
      <c r="L1161" s="20">
        <v>89.83</v>
      </c>
      <c r="M1161" s="110">
        <f>IF(L1161="",I1161,(MIN(J1161,(L1161*1.6*J1161))))</f>
        <v>556</v>
      </c>
      <c r="N1161" s="111">
        <f>IF(M1161=0,0,(M1161/J1161))</f>
        <v>1</v>
      </c>
    </row>
    <row r="1162" spans="2:14">
      <c r="B1162" s="72">
        <v>127641</v>
      </c>
      <c r="C1162" s="47" t="s">
        <v>778</v>
      </c>
      <c r="D1162" s="123">
        <f>SUMIF(B$3:B$3844,B1162,M$3:M$3844)/(SUMIF(B$3:B$3844,B1162,J$3:J$3844))</f>
        <v>0.71662478105247129</v>
      </c>
      <c r="E1162" s="47">
        <v>35530</v>
      </c>
      <c r="F1162" s="48" t="s">
        <v>787</v>
      </c>
      <c r="G1162" s="47"/>
      <c r="H1162" s="47"/>
      <c r="I1162" s="40"/>
      <c r="J1162" s="40">
        <v>158</v>
      </c>
      <c r="K1162" s="20">
        <v>2015</v>
      </c>
      <c r="L1162" s="20">
        <v>79.02</v>
      </c>
      <c r="M1162" s="110">
        <f>IF(L1162="",I1162,(MIN(J1162,(L1162*1.6*J1162))))</f>
        <v>158</v>
      </c>
      <c r="N1162" s="111">
        <f>IF(M1162=0,0,(M1162/J1162))</f>
        <v>1</v>
      </c>
    </row>
    <row r="1163" spans="2:14">
      <c r="B1163" s="73">
        <v>127641</v>
      </c>
      <c r="C1163" s="23" t="s">
        <v>778</v>
      </c>
      <c r="D1163" s="123">
        <f>SUMIF(B$3:B$3844,B1163,M$3:M$3844)/(SUMIF(B$3:B$3844,B1163,J$3:J$3844))</f>
        <v>0.71662478105247129</v>
      </c>
      <c r="E1163" s="23">
        <v>35494</v>
      </c>
      <c r="F1163" s="46" t="s">
        <v>788</v>
      </c>
      <c r="G1163" s="23"/>
      <c r="H1163" s="23"/>
      <c r="I1163" s="41">
        <v>256</v>
      </c>
      <c r="J1163" s="41">
        <v>684</v>
      </c>
      <c r="K1163" s="20"/>
      <c r="L1163" s="20"/>
      <c r="M1163" s="110">
        <f>IF(L1163="",I1163,(MIN(J1163,(L1163*1.6*J1163))))</f>
        <v>256</v>
      </c>
      <c r="N1163" s="111">
        <f>IF(M1163=0,0,(M1163/J1163))</f>
        <v>0.3742690058479532</v>
      </c>
    </row>
    <row r="1164" spans="2:14" ht="30">
      <c r="B1164" s="72">
        <v>127641</v>
      </c>
      <c r="C1164" s="47" t="s">
        <v>778</v>
      </c>
      <c r="D1164" s="123">
        <f>SUMIF(B$3:B$3844,B1164,M$3:M$3844)/(SUMIF(B$3:B$3844,B1164,J$3:J$3844))</f>
        <v>0.71662478105247129</v>
      </c>
      <c r="E1164" s="47">
        <v>186701</v>
      </c>
      <c r="F1164" s="48" t="s">
        <v>789</v>
      </c>
      <c r="G1164" s="47"/>
      <c r="H1164" s="47" t="s">
        <v>789</v>
      </c>
      <c r="I1164" s="40"/>
      <c r="J1164" s="40"/>
      <c r="K1164" s="20"/>
      <c r="L1164" s="20"/>
      <c r="M1164" s="110">
        <f>IF(L1164="",I1164,(MIN(J1164,(L1164*1.6*J1164))))</f>
        <v>0</v>
      </c>
      <c r="N1164" s="111">
        <f>IF(M1164=0,0,(M1164/J1164))</f>
        <v>0</v>
      </c>
    </row>
    <row r="1165" spans="2:14">
      <c r="B1165" s="73">
        <v>127641</v>
      </c>
      <c r="C1165" s="23" t="s">
        <v>778</v>
      </c>
      <c r="D1165" s="123">
        <f>SUMIF(B$3:B$3844,B1165,M$3:M$3844)/(SUMIF(B$3:B$3844,B1165,J$3:J$3844))</f>
        <v>0.71662478105247129</v>
      </c>
      <c r="E1165" s="23">
        <v>35541</v>
      </c>
      <c r="F1165" s="46" t="s">
        <v>790</v>
      </c>
      <c r="G1165" s="23"/>
      <c r="H1165" s="23"/>
      <c r="I1165" s="41"/>
      <c r="J1165" s="41">
        <v>532</v>
      </c>
      <c r="K1165" s="20">
        <v>2015</v>
      </c>
      <c r="L1165" s="20">
        <v>80.430000000000007</v>
      </c>
      <c r="M1165" s="110">
        <f>IF(L1165="",I1165,(MIN(J1165,(L1165*1.6*J1165))))</f>
        <v>532</v>
      </c>
      <c r="N1165" s="111">
        <f>IF(M1165=0,0,(M1165/J1165))</f>
        <v>1</v>
      </c>
    </row>
    <row r="1166" spans="2:14">
      <c r="B1166" s="72">
        <v>127641</v>
      </c>
      <c r="C1166" s="47" t="s">
        <v>778</v>
      </c>
      <c r="D1166" s="123">
        <f>SUMIF(B$3:B$3844,B1166,M$3:M$3844)/(SUMIF(B$3:B$3844,B1166,J$3:J$3844))</f>
        <v>0.71662478105247129</v>
      </c>
      <c r="E1166" s="47">
        <v>35620</v>
      </c>
      <c r="F1166" s="48" t="s">
        <v>791</v>
      </c>
      <c r="G1166" s="47"/>
      <c r="H1166" s="47"/>
      <c r="I1166" s="40">
        <v>282</v>
      </c>
      <c r="J1166" s="40">
        <v>455</v>
      </c>
      <c r="K1166" s="20"/>
      <c r="L1166" s="20"/>
      <c r="M1166" s="110">
        <f>IF(L1166="",I1166,(MIN(J1166,(L1166*1.6*J1166))))</f>
        <v>282</v>
      </c>
      <c r="N1166" s="111">
        <f>IF(M1166=0,0,(M1166/J1166))</f>
        <v>0.6197802197802198</v>
      </c>
    </row>
    <row r="1167" spans="2:14">
      <c r="B1167" s="73">
        <v>127641</v>
      </c>
      <c r="C1167" s="23" t="s">
        <v>778</v>
      </c>
      <c r="D1167" s="123">
        <f>SUMIF(B$3:B$3844,B1167,M$3:M$3844)/(SUMIF(B$3:B$3844,B1167,J$3:J$3844))</f>
        <v>0.71662478105247129</v>
      </c>
      <c r="E1167" s="23">
        <v>16050698</v>
      </c>
      <c r="F1167" s="46" t="s">
        <v>792</v>
      </c>
      <c r="G1167" s="23"/>
      <c r="H1167" s="23"/>
      <c r="I1167" s="41"/>
      <c r="J1167" s="41">
        <v>0</v>
      </c>
      <c r="K1167" s="20"/>
      <c r="L1167" s="20"/>
      <c r="M1167" s="110">
        <f>IF(L1167="",I1167,(MIN(J1167,(L1167*1.6*J1167))))</f>
        <v>0</v>
      </c>
      <c r="N1167" s="111">
        <f>IF(M1167=0,0,(M1167/J1167))</f>
        <v>0</v>
      </c>
    </row>
    <row r="1168" spans="2:14">
      <c r="B1168" s="72">
        <v>127641</v>
      </c>
      <c r="C1168" s="47" t="s">
        <v>778</v>
      </c>
      <c r="D1168" s="123">
        <f>SUMIF(B$3:B$3844,B1168,M$3:M$3844)/(SUMIF(B$3:B$3844,B1168,J$3:J$3844))</f>
        <v>0.71662478105247129</v>
      </c>
      <c r="E1168" s="47">
        <v>35522</v>
      </c>
      <c r="F1168" s="48" t="s">
        <v>793</v>
      </c>
      <c r="G1168" s="47"/>
      <c r="H1168" s="47"/>
      <c r="I1168" s="40">
        <v>1091</v>
      </c>
      <c r="J1168" s="40">
        <v>1749</v>
      </c>
      <c r="K1168" s="20"/>
      <c r="L1168" s="20"/>
      <c r="M1168" s="110">
        <f>IF(L1168="",I1168,(MIN(J1168,(L1168*1.6*J1168))))</f>
        <v>1091</v>
      </c>
      <c r="N1168" s="111">
        <f>IF(M1168=0,0,(M1168/J1168))</f>
        <v>0.6237850200114351</v>
      </c>
    </row>
    <row r="1169" spans="2:14">
      <c r="B1169" s="73">
        <v>127641</v>
      </c>
      <c r="C1169" s="23" t="s">
        <v>778</v>
      </c>
      <c r="D1169" s="123">
        <f>SUMIF(B$3:B$3844,B1169,M$3:M$3844)/(SUMIF(B$3:B$3844,B1169,J$3:J$3844))</f>
        <v>0.71662478105247129</v>
      </c>
      <c r="E1169" s="23">
        <v>17002439</v>
      </c>
      <c r="F1169" s="46" t="s">
        <v>794</v>
      </c>
      <c r="G1169" s="23"/>
      <c r="H1169" s="23"/>
      <c r="I1169" s="41">
        <v>46</v>
      </c>
      <c r="J1169" s="41">
        <v>186</v>
      </c>
      <c r="K1169" s="20"/>
      <c r="L1169" s="20"/>
      <c r="M1169" s="110">
        <f>IF(L1169="",I1169,(MIN(J1169,(L1169*1.6*J1169))))</f>
        <v>46</v>
      </c>
      <c r="N1169" s="111">
        <f>IF(M1169=0,0,(M1169/J1169))</f>
        <v>0.24731182795698925</v>
      </c>
    </row>
    <row r="1170" spans="2:14" ht="30">
      <c r="B1170" s="72">
        <v>127641</v>
      </c>
      <c r="C1170" s="47" t="s">
        <v>778</v>
      </c>
      <c r="D1170" s="123">
        <f>SUMIF(B$3:B$3844,B1170,M$3:M$3844)/(SUMIF(B$3:B$3844,B1170,J$3:J$3844))</f>
        <v>0.71662478105247129</v>
      </c>
      <c r="E1170" s="47">
        <v>17002440</v>
      </c>
      <c r="F1170" s="48" t="s">
        <v>795</v>
      </c>
      <c r="G1170" s="47"/>
      <c r="H1170" s="47"/>
      <c r="I1170" s="40"/>
      <c r="J1170" s="40">
        <v>0</v>
      </c>
      <c r="K1170" s="20"/>
      <c r="L1170" s="20"/>
      <c r="M1170" s="110">
        <f>IF(L1170="",I1170,(MIN(J1170,(L1170*1.6*J1170))))</f>
        <v>0</v>
      </c>
      <c r="N1170" s="111">
        <f>IF(M1170=0,0,(M1170/J1170))</f>
        <v>0</v>
      </c>
    </row>
    <row r="1171" spans="2:14">
      <c r="B1171" s="73">
        <v>127641</v>
      </c>
      <c r="C1171" s="23" t="s">
        <v>778</v>
      </c>
      <c r="D1171" s="123">
        <f>SUMIF(B$3:B$3844,B1171,M$3:M$3844)/(SUMIF(B$3:B$3844,B1171,J$3:J$3844))</f>
        <v>0.71662478105247129</v>
      </c>
      <c r="E1171" s="23">
        <v>17002441</v>
      </c>
      <c r="F1171" s="46" t="s">
        <v>796</v>
      </c>
      <c r="G1171" s="23"/>
      <c r="H1171" s="23"/>
      <c r="I1171" s="41">
        <v>11</v>
      </c>
      <c r="J1171" s="41">
        <v>52</v>
      </c>
      <c r="K1171" s="20"/>
      <c r="L1171" s="20"/>
      <c r="M1171" s="110">
        <f>IF(L1171="",I1171,(MIN(J1171,(L1171*1.6*J1171))))</f>
        <v>11</v>
      </c>
      <c r="N1171" s="111">
        <f>IF(M1171=0,0,(M1171/J1171))</f>
        <v>0.21153846153846154</v>
      </c>
    </row>
    <row r="1172" spans="2:14" ht="30">
      <c r="B1172" s="72">
        <v>127641</v>
      </c>
      <c r="C1172" s="47" t="s">
        <v>778</v>
      </c>
      <c r="D1172" s="123">
        <f>SUMIF(B$3:B$3844,B1172,M$3:M$3844)/(SUMIF(B$3:B$3844,B1172,J$3:J$3844))</f>
        <v>0.71662478105247129</v>
      </c>
      <c r="E1172" s="47">
        <v>17002442</v>
      </c>
      <c r="F1172" s="48" t="s">
        <v>797</v>
      </c>
      <c r="G1172" s="47"/>
      <c r="H1172" s="47"/>
      <c r="I1172" s="40"/>
      <c r="J1172" s="40" t="s">
        <v>798</v>
      </c>
      <c r="K1172" s="20"/>
      <c r="L1172" s="20"/>
      <c r="M1172" s="110">
        <f>IF(L1172="",I1172,(MIN(J1172,(L1172*1.6*J1172))))</f>
        <v>0</v>
      </c>
      <c r="N1172" s="111">
        <f>IF(M1172=0,0,(M1172/J1172))</f>
        <v>0</v>
      </c>
    </row>
    <row r="1173" spans="2:14">
      <c r="B1173" s="73">
        <v>127641</v>
      </c>
      <c r="C1173" s="23" t="s">
        <v>778</v>
      </c>
      <c r="D1173" s="123">
        <f>SUMIF(B$3:B$3844,B1173,M$3:M$3844)/(SUMIF(B$3:B$3844,B1173,J$3:J$3844))</f>
        <v>0.71662478105247129</v>
      </c>
      <c r="E1173" s="23">
        <v>35565</v>
      </c>
      <c r="F1173" s="46" t="s">
        <v>799</v>
      </c>
      <c r="G1173" s="23"/>
      <c r="H1173" s="23"/>
      <c r="I1173" s="41"/>
      <c r="J1173" s="41">
        <v>233</v>
      </c>
      <c r="K1173" s="20">
        <v>2015</v>
      </c>
      <c r="L1173" s="20">
        <v>54.24</v>
      </c>
      <c r="M1173" s="110">
        <f>IF(L1173="",I1173,(MIN(J1173,(L1173*1.6*J1173))))</f>
        <v>233</v>
      </c>
      <c r="N1173" s="111">
        <f>IF(M1173=0,0,(M1173/J1173))</f>
        <v>1</v>
      </c>
    </row>
    <row r="1174" spans="2:14">
      <c r="B1174" s="72">
        <v>127641</v>
      </c>
      <c r="C1174" s="47" t="s">
        <v>778</v>
      </c>
      <c r="D1174" s="123">
        <f>SUMIF(B$3:B$3844,B1174,M$3:M$3844)/(SUMIF(B$3:B$3844,B1174,J$3:J$3844))</f>
        <v>0.71662478105247129</v>
      </c>
      <c r="E1174" s="47">
        <v>35543</v>
      </c>
      <c r="F1174" s="48" t="s">
        <v>800</v>
      </c>
      <c r="G1174" s="47"/>
      <c r="H1174" s="47"/>
      <c r="I1174" s="40"/>
      <c r="J1174" s="40">
        <v>696</v>
      </c>
      <c r="K1174" s="20">
        <v>2015</v>
      </c>
      <c r="L1174" s="20">
        <v>67.31</v>
      </c>
      <c r="M1174" s="110">
        <f>IF(L1174="",I1174,(MIN(J1174,(L1174*1.6*J1174))))</f>
        <v>696</v>
      </c>
      <c r="N1174" s="111">
        <f>IF(M1174=0,0,(M1174/J1174))</f>
        <v>1</v>
      </c>
    </row>
    <row r="1175" spans="2:14">
      <c r="B1175" s="73">
        <v>127641</v>
      </c>
      <c r="C1175" s="23" t="s">
        <v>778</v>
      </c>
      <c r="D1175" s="123">
        <f>SUMIF(B$3:B$3844,B1175,M$3:M$3844)/(SUMIF(B$3:B$3844,B1175,J$3:J$3844))</f>
        <v>0.71662478105247129</v>
      </c>
      <c r="E1175" s="23">
        <v>35545</v>
      </c>
      <c r="F1175" s="46" t="s">
        <v>801</v>
      </c>
      <c r="G1175" s="23"/>
      <c r="H1175" s="23"/>
      <c r="I1175" s="41">
        <v>690</v>
      </c>
      <c r="J1175" s="41">
        <v>1031</v>
      </c>
      <c r="K1175" s="20"/>
      <c r="L1175" s="20"/>
      <c r="M1175" s="110">
        <f>IF(L1175="",I1175,(MIN(J1175,(L1175*1.6*J1175))))</f>
        <v>690</v>
      </c>
      <c r="N1175" s="111">
        <f>IF(M1175=0,0,(M1175/J1175))</f>
        <v>0.66925315227934046</v>
      </c>
    </row>
    <row r="1176" spans="2:14">
      <c r="B1176" s="72">
        <v>127641</v>
      </c>
      <c r="C1176" s="47" t="s">
        <v>778</v>
      </c>
      <c r="D1176" s="123">
        <f>SUMIF(B$3:B$3844,B1176,M$3:M$3844)/(SUMIF(B$3:B$3844,B1176,J$3:J$3844))</f>
        <v>0.71662478105247129</v>
      </c>
      <c r="E1176" s="47">
        <v>16064830</v>
      </c>
      <c r="F1176" s="48" t="s">
        <v>802</v>
      </c>
      <c r="G1176" s="47"/>
      <c r="H1176" s="47"/>
      <c r="I1176" s="40"/>
      <c r="J1176" s="40">
        <v>763</v>
      </c>
      <c r="K1176" s="20">
        <v>2015</v>
      </c>
      <c r="L1176" s="20">
        <v>87.34</v>
      </c>
      <c r="M1176" s="110">
        <f>IF(L1176="",I1176,(MIN(J1176,(L1176*1.6*J1176))))</f>
        <v>763</v>
      </c>
      <c r="N1176" s="111">
        <f>IF(M1176=0,0,(M1176/J1176))</f>
        <v>1</v>
      </c>
    </row>
    <row r="1177" spans="2:14">
      <c r="B1177" s="73">
        <v>127641</v>
      </c>
      <c r="C1177" s="23" t="s">
        <v>778</v>
      </c>
      <c r="D1177" s="123">
        <f>SUMIF(B$3:B$3844,B1177,M$3:M$3844)/(SUMIF(B$3:B$3844,B1177,J$3:J$3844))</f>
        <v>0.71662478105247129</v>
      </c>
      <c r="E1177" s="23">
        <v>35525</v>
      </c>
      <c r="F1177" s="46" t="s">
        <v>803</v>
      </c>
      <c r="G1177" s="23"/>
      <c r="H1177" s="23"/>
      <c r="I1177" s="41">
        <v>317</v>
      </c>
      <c r="J1177" s="41">
        <v>888</v>
      </c>
      <c r="K1177" s="20"/>
      <c r="L1177" s="20"/>
      <c r="M1177" s="110">
        <f>IF(L1177="",I1177,(MIN(J1177,(L1177*1.6*J1177))))</f>
        <v>317</v>
      </c>
      <c r="N1177" s="111">
        <f>IF(M1177=0,0,(M1177/J1177))</f>
        <v>0.356981981981982</v>
      </c>
    </row>
    <row r="1178" spans="2:14">
      <c r="B1178" s="72">
        <v>127641</v>
      </c>
      <c r="C1178" s="47" t="s">
        <v>778</v>
      </c>
      <c r="D1178" s="123">
        <f>SUMIF(B$3:B$3844,B1178,M$3:M$3844)/(SUMIF(B$3:B$3844,B1178,J$3:J$3844))</f>
        <v>0.71662478105247129</v>
      </c>
      <c r="E1178" s="47">
        <v>202873</v>
      </c>
      <c r="F1178" s="48" t="s">
        <v>804</v>
      </c>
      <c r="G1178" s="47"/>
      <c r="H1178" s="47"/>
      <c r="I1178" s="40">
        <v>9</v>
      </c>
      <c r="J1178" s="40">
        <v>21</v>
      </c>
      <c r="K1178" s="20"/>
      <c r="L1178" s="20"/>
      <c r="M1178" s="110">
        <f>IF(L1178="",I1178,(MIN(J1178,(L1178*1.6*J1178))))</f>
        <v>9</v>
      </c>
      <c r="N1178" s="111">
        <f>IF(M1178=0,0,(M1178/J1178))</f>
        <v>0.42857142857142855</v>
      </c>
    </row>
    <row r="1179" spans="2:14">
      <c r="B1179" s="73">
        <v>127641</v>
      </c>
      <c r="C1179" s="23" t="s">
        <v>778</v>
      </c>
      <c r="D1179" s="123">
        <f>SUMIF(B$3:B$3844,B1179,M$3:M$3844)/(SUMIF(B$3:B$3844,B1179,J$3:J$3844))</f>
        <v>0.71662478105247129</v>
      </c>
      <c r="E1179" s="23">
        <v>35509</v>
      </c>
      <c r="F1179" s="46" t="s">
        <v>805</v>
      </c>
      <c r="G1179" s="23"/>
      <c r="H1179" s="23"/>
      <c r="I1179" s="41"/>
      <c r="J1179" s="41">
        <v>859</v>
      </c>
      <c r="K1179" s="20">
        <v>2015</v>
      </c>
      <c r="L1179" s="20">
        <v>60.11</v>
      </c>
      <c r="M1179" s="110">
        <f>IF(L1179="",I1179,(MIN(J1179,(L1179*1.6*J1179))))</f>
        <v>859</v>
      </c>
      <c r="N1179" s="111">
        <f>IF(M1179=0,0,(M1179/J1179))</f>
        <v>1</v>
      </c>
    </row>
    <row r="1180" spans="2:14">
      <c r="B1180" s="72">
        <v>127641</v>
      </c>
      <c r="C1180" s="47" t="s">
        <v>778</v>
      </c>
      <c r="D1180" s="123">
        <f>SUMIF(B$3:B$3844,B1180,M$3:M$3844)/(SUMIF(B$3:B$3844,B1180,J$3:J$3844))</f>
        <v>0.71662478105247129</v>
      </c>
      <c r="E1180" s="47">
        <v>35603</v>
      </c>
      <c r="F1180" s="48" t="s">
        <v>806</v>
      </c>
      <c r="G1180" s="47"/>
      <c r="H1180" s="47"/>
      <c r="I1180" s="40">
        <v>848</v>
      </c>
      <c r="J1180" s="40">
        <v>2202</v>
      </c>
      <c r="K1180" s="20"/>
      <c r="L1180" s="20"/>
      <c r="M1180" s="110">
        <f>IF(L1180="",I1180,(MIN(J1180,(L1180*1.6*J1180))))</f>
        <v>848</v>
      </c>
      <c r="N1180" s="111">
        <f>IF(M1180=0,0,(M1180/J1180))</f>
        <v>0.38510445049954589</v>
      </c>
    </row>
    <row r="1181" spans="2:14">
      <c r="B1181" s="73">
        <v>127641</v>
      </c>
      <c r="C1181" s="23" t="s">
        <v>778</v>
      </c>
      <c r="D1181" s="123">
        <f>SUMIF(B$3:B$3844,B1181,M$3:M$3844)/(SUMIF(B$3:B$3844,B1181,J$3:J$3844))</f>
        <v>0.71662478105247129</v>
      </c>
      <c r="E1181" s="23">
        <v>35560</v>
      </c>
      <c r="F1181" s="46" t="s">
        <v>807</v>
      </c>
      <c r="G1181" s="23"/>
      <c r="H1181" s="23"/>
      <c r="I1181" s="41"/>
      <c r="J1181" s="41">
        <v>645</v>
      </c>
      <c r="K1181" s="20">
        <v>2015</v>
      </c>
      <c r="L1181" s="20">
        <v>62.14</v>
      </c>
      <c r="M1181" s="110">
        <f>IF(L1181="",I1181,(MIN(J1181,(L1181*1.6*J1181))))</f>
        <v>645</v>
      </c>
      <c r="N1181" s="111">
        <f>IF(M1181=0,0,(M1181/J1181))</f>
        <v>1</v>
      </c>
    </row>
    <row r="1182" spans="2:14">
      <c r="B1182" s="72">
        <v>127641</v>
      </c>
      <c r="C1182" s="47" t="s">
        <v>778</v>
      </c>
      <c r="D1182" s="123">
        <f>SUMIF(B$3:B$3844,B1182,M$3:M$3844)/(SUMIF(B$3:B$3844,B1182,J$3:J$3844))</f>
        <v>0.71662478105247129</v>
      </c>
      <c r="E1182" s="47">
        <v>35526</v>
      </c>
      <c r="F1182" s="48" t="s">
        <v>808</v>
      </c>
      <c r="G1182" s="47"/>
      <c r="H1182" s="47"/>
      <c r="I1182" s="40">
        <v>786</v>
      </c>
      <c r="J1182" s="40">
        <v>1353</v>
      </c>
      <c r="K1182" s="20"/>
      <c r="L1182" s="20"/>
      <c r="M1182" s="110">
        <f>IF(L1182="",I1182,(MIN(J1182,(L1182*1.6*J1182))))</f>
        <v>786</v>
      </c>
      <c r="N1182" s="111">
        <f>IF(M1182=0,0,(M1182/J1182))</f>
        <v>0.58093126385809313</v>
      </c>
    </row>
    <row r="1183" spans="2:14">
      <c r="B1183" s="73">
        <v>127641</v>
      </c>
      <c r="C1183" s="23" t="s">
        <v>778</v>
      </c>
      <c r="D1183" s="123">
        <f>SUMIF(B$3:B$3844,B1183,M$3:M$3844)/(SUMIF(B$3:B$3844,B1183,J$3:J$3844))</f>
        <v>0.71662478105247129</v>
      </c>
      <c r="E1183" s="23">
        <v>35533</v>
      </c>
      <c r="F1183" s="46" t="s">
        <v>809</v>
      </c>
      <c r="G1183" s="23"/>
      <c r="H1183" s="23"/>
      <c r="I1183" s="41"/>
      <c r="J1183" s="41">
        <v>74</v>
      </c>
      <c r="K1183" s="20">
        <v>2015</v>
      </c>
      <c r="L1183" s="20">
        <v>66.67</v>
      </c>
      <c r="M1183" s="110">
        <f>IF(L1183="",I1183,(MIN(J1183,(L1183*1.6*J1183))))</f>
        <v>74</v>
      </c>
      <c r="N1183" s="111">
        <f>IF(M1183=0,0,(M1183/J1183))</f>
        <v>1</v>
      </c>
    </row>
    <row r="1184" spans="2:14">
      <c r="B1184" s="72">
        <v>127641</v>
      </c>
      <c r="C1184" s="47" t="s">
        <v>778</v>
      </c>
      <c r="D1184" s="123">
        <f>SUMIF(B$3:B$3844,B1184,M$3:M$3844)/(SUMIF(B$3:B$3844,B1184,J$3:J$3844))</f>
        <v>0.71662478105247129</v>
      </c>
      <c r="E1184" s="47">
        <v>35564</v>
      </c>
      <c r="F1184" s="48" t="s">
        <v>810</v>
      </c>
      <c r="G1184" s="47"/>
      <c r="H1184" s="47"/>
      <c r="I1184" s="40">
        <v>520</v>
      </c>
      <c r="J1184" s="40">
        <v>771</v>
      </c>
      <c r="K1184" s="20"/>
      <c r="L1184" s="20"/>
      <c r="M1184" s="110">
        <f>IF(L1184="",I1184,(MIN(J1184,(L1184*1.6*J1184))))</f>
        <v>520</v>
      </c>
      <c r="N1184" s="111">
        <f>IF(M1184=0,0,(M1184/J1184))</f>
        <v>0.67444876783398189</v>
      </c>
    </row>
    <row r="1185" spans="2:14">
      <c r="B1185" s="73">
        <v>127641</v>
      </c>
      <c r="C1185" s="23" t="s">
        <v>778</v>
      </c>
      <c r="D1185" s="123">
        <f>SUMIF(B$3:B$3844,B1185,M$3:M$3844)/(SUMIF(B$3:B$3844,B1185,J$3:J$3844))</f>
        <v>0.71662478105247129</v>
      </c>
      <c r="E1185" s="23">
        <v>35563</v>
      </c>
      <c r="F1185" s="46" t="s">
        <v>811</v>
      </c>
      <c r="G1185" s="23"/>
      <c r="H1185" s="23"/>
      <c r="I1185" s="41"/>
      <c r="J1185" s="41">
        <v>213</v>
      </c>
      <c r="K1185" s="20">
        <v>2015</v>
      </c>
      <c r="L1185" s="20">
        <v>76.8</v>
      </c>
      <c r="M1185" s="110">
        <f>IF(L1185="",I1185,(MIN(J1185,(L1185*1.6*J1185))))</f>
        <v>213</v>
      </c>
      <c r="N1185" s="111">
        <f>IF(M1185=0,0,(M1185/J1185))</f>
        <v>1</v>
      </c>
    </row>
    <row r="1186" spans="2:14">
      <c r="B1186" s="72">
        <v>127641</v>
      </c>
      <c r="C1186" s="47" t="s">
        <v>778</v>
      </c>
      <c r="D1186" s="123">
        <f>SUMIF(B$3:B$3844,B1186,M$3:M$3844)/(SUMIF(B$3:B$3844,B1186,J$3:J$3844))</f>
        <v>0.71662478105247129</v>
      </c>
      <c r="E1186" s="47">
        <v>35555</v>
      </c>
      <c r="F1186" s="48" t="s">
        <v>812</v>
      </c>
      <c r="G1186" s="47"/>
      <c r="H1186" s="47"/>
      <c r="I1186" s="40"/>
      <c r="J1186" s="40">
        <v>777</v>
      </c>
      <c r="K1186" s="20">
        <v>2015</v>
      </c>
      <c r="L1186" s="20">
        <v>64.38</v>
      </c>
      <c r="M1186" s="110">
        <f>IF(L1186="",I1186,(MIN(J1186,(L1186*1.6*J1186))))</f>
        <v>777</v>
      </c>
      <c r="N1186" s="111">
        <f>IF(M1186=0,0,(M1186/J1186))</f>
        <v>1</v>
      </c>
    </row>
    <row r="1187" spans="2:14">
      <c r="B1187" s="73">
        <v>127641</v>
      </c>
      <c r="C1187" s="23" t="s">
        <v>778</v>
      </c>
      <c r="D1187" s="123">
        <f>SUMIF(B$3:B$3844,B1187,M$3:M$3844)/(SUMIF(B$3:B$3844,B1187,J$3:J$3844))</f>
        <v>0.71662478105247129</v>
      </c>
      <c r="E1187" s="23">
        <v>35481</v>
      </c>
      <c r="F1187" s="46" t="s">
        <v>813</v>
      </c>
      <c r="G1187" s="23"/>
      <c r="H1187" s="23"/>
      <c r="I1187" s="41"/>
      <c r="J1187" s="41">
        <v>133</v>
      </c>
      <c r="K1187" s="20">
        <v>2015</v>
      </c>
      <c r="L1187" s="20">
        <v>71.97</v>
      </c>
      <c r="M1187" s="110">
        <f>IF(L1187="",I1187,(MIN(J1187,(L1187*1.6*J1187))))</f>
        <v>133</v>
      </c>
      <c r="N1187" s="111">
        <f>IF(M1187=0,0,(M1187/J1187))</f>
        <v>1</v>
      </c>
    </row>
    <row r="1188" spans="2:14">
      <c r="B1188" s="72">
        <v>127641</v>
      </c>
      <c r="C1188" s="47" t="s">
        <v>778</v>
      </c>
      <c r="D1188" s="123">
        <f>SUMIF(B$3:B$3844,B1188,M$3:M$3844)/(SUMIF(B$3:B$3844,B1188,J$3:J$3844))</f>
        <v>0.71662478105247129</v>
      </c>
      <c r="E1188" s="47">
        <v>35645</v>
      </c>
      <c r="F1188" s="48" t="s">
        <v>814</v>
      </c>
      <c r="G1188" s="47"/>
      <c r="H1188" s="47"/>
      <c r="I1188" s="40">
        <v>279</v>
      </c>
      <c r="J1188" s="40">
        <v>446</v>
      </c>
      <c r="K1188" s="20"/>
      <c r="L1188" s="20"/>
      <c r="M1188" s="110">
        <f>IF(L1188="",I1188,(MIN(J1188,(L1188*1.6*J1188))))</f>
        <v>279</v>
      </c>
      <c r="N1188" s="111">
        <f>IF(M1188=0,0,(M1188/J1188))</f>
        <v>0.62556053811659196</v>
      </c>
    </row>
    <row r="1189" spans="2:14">
      <c r="B1189" s="73">
        <v>127641</v>
      </c>
      <c r="C1189" s="23" t="s">
        <v>778</v>
      </c>
      <c r="D1189" s="123">
        <f>SUMIF(B$3:B$3844,B1189,M$3:M$3844)/(SUMIF(B$3:B$3844,B1189,J$3:J$3844))</f>
        <v>0.71662478105247129</v>
      </c>
      <c r="E1189" s="23">
        <v>35515</v>
      </c>
      <c r="F1189" s="46" t="s">
        <v>815</v>
      </c>
      <c r="G1189" s="23"/>
      <c r="H1189" s="23"/>
      <c r="I1189" s="41"/>
      <c r="J1189" s="41">
        <v>390</v>
      </c>
      <c r="K1189" s="20">
        <v>2015</v>
      </c>
      <c r="L1189" s="20">
        <v>90.78</v>
      </c>
      <c r="M1189" s="110">
        <f>IF(L1189="",I1189,(MIN(J1189,(L1189*1.6*J1189))))</f>
        <v>390</v>
      </c>
      <c r="N1189" s="111">
        <f>IF(M1189=0,0,(M1189/J1189))</f>
        <v>1</v>
      </c>
    </row>
    <row r="1190" spans="2:14">
      <c r="B1190" s="72">
        <v>127641</v>
      </c>
      <c r="C1190" s="47" t="s">
        <v>778</v>
      </c>
      <c r="D1190" s="123">
        <f>SUMIF(B$3:B$3844,B1190,M$3:M$3844)/(SUMIF(B$3:B$3844,B1190,J$3:J$3844))</f>
        <v>0.71662478105247129</v>
      </c>
      <c r="E1190" s="47">
        <v>35523</v>
      </c>
      <c r="F1190" s="48" t="s">
        <v>816</v>
      </c>
      <c r="G1190" s="47"/>
      <c r="H1190" s="47"/>
      <c r="I1190" s="40"/>
      <c r="J1190" s="40">
        <v>667</v>
      </c>
      <c r="K1190" s="20">
        <v>2015</v>
      </c>
      <c r="L1190" s="20">
        <v>74.77</v>
      </c>
      <c r="M1190" s="110">
        <f>IF(L1190="",I1190,(MIN(J1190,(L1190*1.6*J1190))))</f>
        <v>667</v>
      </c>
      <c r="N1190" s="111">
        <f>IF(M1190=0,0,(M1190/J1190))</f>
        <v>1</v>
      </c>
    </row>
    <row r="1191" spans="2:14">
      <c r="B1191" s="73">
        <v>127641</v>
      </c>
      <c r="C1191" s="23" t="s">
        <v>778</v>
      </c>
      <c r="D1191" s="123">
        <f>SUMIF(B$3:B$3844,B1191,M$3:M$3844)/(SUMIF(B$3:B$3844,B1191,J$3:J$3844))</f>
        <v>0.71662478105247129</v>
      </c>
      <c r="E1191" s="23">
        <v>35486</v>
      </c>
      <c r="F1191" s="46" t="s">
        <v>817</v>
      </c>
      <c r="G1191" s="23"/>
      <c r="H1191" s="23"/>
      <c r="I1191" s="41">
        <v>213</v>
      </c>
      <c r="J1191" s="41">
        <v>596</v>
      </c>
      <c r="K1191" s="20"/>
      <c r="L1191" s="20"/>
      <c r="M1191" s="110">
        <f>IF(L1191="",I1191,(MIN(J1191,(L1191*1.6*J1191))))</f>
        <v>213</v>
      </c>
      <c r="N1191" s="111">
        <f>IF(M1191=0,0,(M1191/J1191))</f>
        <v>0.35738255033557048</v>
      </c>
    </row>
    <row r="1192" spans="2:14">
      <c r="B1192" s="72">
        <v>127641</v>
      </c>
      <c r="C1192" s="47" t="s">
        <v>778</v>
      </c>
      <c r="D1192" s="123">
        <f>SUMIF(B$3:B$3844,B1192,M$3:M$3844)/(SUMIF(B$3:B$3844,B1192,J$3:J$3844))</f>
        <v>0.71662478105247129</v>
      </c>
      <c r="E1192" s="47">
        <v>35531</v>
      </c>
      <c r="F1192" s="48" t="s">
        <v>818</v>
      </c>
      <c r="G1192" s="47"/>
      <c r="H1192" s="47"/>
      <c r="I1192" s="40"/>
      <c r="J1192" s="40">
        <v>501</v>
      </c>
      <c r="K1192" s="20">
        <v>2015</v>
      </c>
      <c r="L1192" s="20">
        <v>74.89</v>
      </c>
      <c r="M1192" s="110">
        <f>IF(L1192="",I1192,(MIN(J1192,(L1192*1.6*J1192))))</f>
        <v>501</v>
      </c>
      <c r="N1192" s="111">
        <f>IF(M1192=0,0,(M1192/J1192))</f>
        <v>1</v>
      </c>
    </row>
    <row r="1193" spans="2:14">
      <c r="B1193" s="73">
        <v>127641</v>
      </c>
      <c r="C1193" s="23" t="s">
        <v>778</v>
      </c>
      <c r="D1193" s="123">
        <f>SUMIF(B$3:B$3844,B1193,M$3:M$3844)/(SUMIF(B$3:B$3844,B1193,J$3:J$3844))</f>
        <v>0.71662478105247129</v>
      </c>
      <c r="E1193" s="23">
        <v>35570</v>
      </c>
      <c r="F1193" s="46" t="s">
        <v>819</v>
      </c>
      <c r="G1193" s="23"/>
      <c r="H1193" s="23"/>
      <c r="I1193" s="41">
        <v>281</v>
      </c>
      <c r="J1193" s="41">
        <v>516</v>
      </c>
      <c r="K1193" s="20"/>
      <c r="L1193" s="20"/>
      <c r="M1193" s="110">
        <f>IF(L1193="",I1193,(MIN(J1193,(L1193*1.6*J1193))))</f>
        <v>281</v>
      </c>
      <c r="N1193" s="111">
        <f>IF(M1193=0,0,(M1193/J1193))</f>
        <v>0.54457364341085268</v>
      </c>
    </row>
    <row r="1194" spans="2:14">
      <c r="B1194" s="72">
        <v>127641</v>
      </c>
      <c r="C1194" s="47" t="s">
        <v>778</v>
      </c>
      <c r="D1194" s="123">
        <f>SUMIF(B$3:B$3844,B1194,M$3:M$3844)/(SUMIF(B$3:B$3844,B1194,J$3:J$3844))</f>
        <v>0.71662478105247129</v>
      </c>
      <c r="E1194" s="47">
        <v>35496</v>
      </c>
      <c r="F1194" s="48" t="s">
        <v>820</v>
      </c>
      <c r="G1194" s="47"/>
      <c r="H1194" s="47"/>
      <c r="I1194" s="40"/>
      <c r="J1194" s="40">
        <v>428</v>
      </c>
      <c r="K1194" s="20">
        <v>2015</v>
      </c>
      <c r="L1194" s="20">
        <v>87.7</v>
      </c>
      <c r="M1194" s="110">
        <f>IF(L1194="",I1194,(MIN(J1194,(L1194*1.6*J1194))))</f>
        <v>428</v>
      </c>
      <c r="N1194" s="111">
        <f>IF(M1194=0,0,(M1194/J1194))</f>
        <v>1</v>
      </c>
    </row>
    <row r="1195" spans="2:14">
      <c r="B1195" s="73">
        <v>127641</v>
      </c>
      <c r="C1195" s="23" t="s">
        <v>778</v>
      </c>
      <c r="D1195" s="123">
        <f>SUMIF(B$3:B$3844,B1195,M$3:M$3844)/(SUMIF(B$3:B$3844,B1195,J$3:J$3844))</f>
        <v>0.71662478105247129</v>
      </c>
      <c r="E1195" s="23">
        <v>35516</v>
      </c>
      <c r="F1195" s="46" t="s">
        <v>821</v>
      </c>
      <c r="G1195" s="23"/>
      <c r="H1195" s="23"/>
      <c r="I1195" s="41"/>
      <c r="J1195" s="41">
        <v>577</v>
      </c>
      <c r="K1195" s="20">
        <v>2015</v>
      </c>
      <c r="L1195" s="20">
        <v>83.29</v>
      </c>
      <c r="M1195" s="110">
        <f>IF(L1195="",I1195,(MIN(J1195,(L1195*1.6*J1195))))</f>
        <v>577</v>
      </c>
      <c r="N1195" s="111">
        <f>IF(M1195=0,0,(M1195/J1195))</f>
        <v>1</v>
      </c>
    </row>
    <row r="1196" spans="2:14">
      <c r="B1196" s="72">
        <v>127641</v>
      </c>
      <c r="C1196" s="47" t="s">
        <v>778</v>
      </c>
      <c r="D1196" s="123">
        <f>SUMIF(B$3:B$3844,B1196,M$3:M$3844)/(SUMIF(B$3:B$3844,B1196,J$3:J$3844))</f>
        <v>0.71662478105247129</v>
      </c>
      <c r="E1196" s="47">
        <v>35482</v>
      </c>
      <c r="F1196" s="48" t="s">
        <v>822</v>
      </c>
      <c r="G1196" s="47"/>
      <c r="H1196" s="47"/>
      <c r="I1196" s="40">
        <v>890</v>
      </c>
      <c r="J1196" s="40">
        <v>1448</v>
      </c>
      <c r="K1196" s="20"/>
      <c r="L1196" s="20"/>
      <c r="M1196" s="110">
        <f>IF(L1196="",I1196,(MIN(J1196,(L1196*1.6*J1196))))</f>
        <v>890</v>
      </c>
      <c r="N1196" s="111">
        <f>IF(M1196=0,0,(M1196/J1196))</f>
        <v>0.61464088397790051</v>
      </c>
    </row>
    <row r="1197" spans="2:14">
      <c r="B1197" s="73">
        <v>127641</v>
      </c>
      <c r="C1197" s="23" t="s">
        <v>778</v>
      </c>
      <c r="D1197" s="123">
        <f>SUMIF(B$3:B$3844,B1197,M$3:M$3844)/(SUMIF(B$3:B$3844,B1197,J$3:J$3844))</f>
        <v>0.71662478105247129</v>
      </c>
      <c r="E1197" s="23">
        <v>35556</v>
      </c>
      <c r="F1197" s="46" t="s">
        <v>823</v>
      </c>
      <c r="G1197" s="23"/>
      <c r="H1197" s="23"/>
      <c r="I1197" s="41"/>
      <c r="J1197" s="41">
        <v>1706</v>
      </c>
      <c r="K1197" s="20">
        <v>2015</v>
      </c>
      <c r="L1197" s="20">
        <v>54.31</v>
      </c>
      <c r="M1197" s="110">
        <f>IF(L1197="",I1197,(MIN(J1197,(L1197*1.6*J1197))))</f>
        <v>1706</v>
      </c>
      <c r="N1197" s="111">
        <f>IF(M1197=0,0,(M1197/J1197))</f>
        <v>1</v>
      </c>
    </row>
    <row r="1198" spans="2:14">
      <c r="B1198" s="72">
        <v>127641</v>
      </c>
      <c r="C1198" s="47" t="s">
        <v>778</v>
      </c>
      <c r="D1198" s="123">
        <f>SUMIF(B$3:B$3844,B1198,M$3:M$3844)/(SUMIF(B$3:B$3844,B1198,J$3:J$3844))</f>
        <v>0.71662478105247129</v>
      </c>
      <c r="E1198" s="47">
        <v>35562</v>
      </c>
      <c r="F1198" s="48" t="s">
        <v>824</v>
      </c>
      <c r="G1198" s="47"/>
      <c r="H1198" s="47"/>
      <c r="I1198" s="40">
        <v>482</v>
      </c>
      <c r="J1198" s="40">
        <v>915</v>
      </c>
      <c r="K1198" s="20"/>
      <c r="L1198" s="20"/>
      <c r="M1198" s="110">
        <f>IF(L1198="",I1198,(MIN(J1198,(L1198*1.6*J1198))))</f>
        <v>482</v>
      </c>
      <c r="N1198" s="111">
        <f>IF(M1198=0,0,(M1198/J1198))</f>
        <v>0.52677595628415297</v>
      </c>
    </row>
    <row r="1199" spans="2:14">
      <c r="B1199" s="73">
        <v>127641</v>
      </c>
      <c r="C1199" s="23" t="s">
        <v>778</v>
      </c>
      <c r="D1199" s="123">
        <f>SUMIF(B$3:B$3844,B1199,M$3:M$3844)/(SUMIF(B$3:B$3844,B1199,J$3:J$3844))</f>
        <v>0.71662478105247129</v>
      </c>
      <c r="E1199" s="23">
        <v>35538</v>
      </c>
      <c r="F1199" s="46" t="s">
        <v>825</v>
      </c>
      <c r="G1199" s="23"/>
      <c r="H1199" s="23"/>
      <c r="I1199" s="41"/>
      <c r="J1199" s="41">
        <v>666</v>
      </c>
      <c r="K1199" s="20">
        <v>2015</v>
      </c>
      <c r="L1199" s="20">
        <v>56.9</v>
      </c>
      <c r="M1199" s="110">
        <f>IF(L1199="",I1199,(MIN(J1199,(L1199*1.6*J1199))))</f>
        <v>666</v>
      </c>
      <c r="N1199" s="111">
        <f>IF(M1199=0,0,(M1199/J1199))</f>
        <v>1</v>
      </c>
    </row>
    <row r="1200" spans="2:14">
      <c r="B1200" s="72">
        <v>127641</v>
      </c>
      <c r="C1200" s="47" t="s">
        <v>778</v>
      </c>
      <c r="D1200" s="123">
        <f>SUMIF(B$3:B$3844,B1200,M$3:M$3844)/(SUMIF(B$3:B$3844,B1200,J$3:J$3844))</f>
        <v>0.71662478105247129</v>
      </c>
      <c r="E1200" s="47">
        <v>35566</v>
      </c>
      <c r="F1200" s="48" t="s">
        <v>826</v>
      </c>
      <c r="G1200" s="47"/>
      <c r="H1200" s="47"/>
      <c r="I1200" s="40">
        <v>465</v>
      </c>
      <c r="J1200" s="40">
        <v>920</v>
      </c>
      <c r="K1200" s="20"/>
      <c r="L1200" s="20"/>
      <c r="M1200" s="110">
        <f>IF(L1200="",I1200,(MIN(J1200,(L1200*1.6*J1200))))</f>
        <v>465</v>
      </c>
      <c r="N1200" s="111">
        <f>IF(M1200=0,0,(M1200/J1200))</f>
        <v>0.50543478260869568</v>
      </c>
    </row>
    <row r="1201" spans="2:14">
      <c r="B1201" s="73">
        <v>127641</v>
      </c>
      <c r="C1201" s="23" t="s">
        <v>778</v>
      </c>
      <c r="D1201" s="123">
        <f>SUMIF(B$3:B$3844,B1201,M$3:M$3844)/(SUMIF(B$3:B$3844,B1201,J$3:J$3844))</f>
        <v>0.71662478105247129</v>
      </c>
      <c r="E1201" s="23">
        <v>35559</v>
      </c>
      <c r="F1201" s="46" t="s">
        <v>827</v>
      </c>
      <c r="G1201" s="23"/>
      <c r="H1201" s="23"/>
      <c r="I1201" s="41">
        <v>627</v>
      </c>
      <c r="J1201" s="41">
        <v>1332</v>
      </c>
      <c r="K1201" s="20"/>
      <c r="L1201" s="20"/>
      <c r="M1201" s="110">
        <f>IF(L1201="",I1201,(MIN(J1201,(L1201*1.6*J1201))))</f>
        <v>627</v>
      </c>
      <c r="N1201" s="111">
        <f>IF(M1201=0,0,(M1201/J1201))</f>
        <v>0.47072072072072074</v>
      </c>
    </row>
    <row r="1202" spans="2:14">
      <c r="B1202" s="72">
        <v>127641</v>
      </c>
      <c r="C1202" s="47" t="s">
        <v>778</v>
      </c>
      <c r="D1202" s="123">
        <f>SUMIF(B$3:B$3844,B1202,M$3:M$3844)/(SUMIF(B$3:B$3844,B1202,J$3:J$3844))</f>
        <v>0.71662478105247129</v>
      </c>
      <c r="E1202" s="47">
        <v>35508</v>
      </c>
      <c r="F1202" s="48" t="s">
        <v>828</v>
      </c>
      <c r="G1202" s="47"/>
      <c r="H1202" s="47"/>
      <c r="I1202" s="40"/>
      <c r="J1202" s="40">
        <v>495</v>
      </c>
      <c r="K1202" s="20">
        <v>2015</v>
      </c>
      <c r="L1202" s="20">
        <v>75.959999999999994</v>
      </c>
      <c r="M1202" s="110">
        <f>IF(L1202="",I1202,(MIN(J1202,(L1202*1.6*J1202))))</f>
        <v>495</v>
      </c>
      <c r="N1202" s="111">
        <f>IF(M1202=0,0,(M1202/J1202))</f>
        <v>1</v>
      </c>
    </row>
    <row r="1203" spans="2:14">
      <c r="B1203" s="73">
        <v>127641</v>
      </c>
      <c r="C1203" s="23" t="s">
        <v>778</v>
      </c>
      <c r="D1203" s="123">
        <f>SUMIF(B$3:B$3844,B1203,M$3:M$3844)/(SUMIF(B$3:B$3844,B1203,J$3:J$3844))</f>
        <v>0.71662478105247129</v>
      </c>
      <c r="E1203" s="23">
        <v>35506</v>
      </c>
      <c r="F1203" s="46" t="s">
        <v>829</v>
      </c>
      <c r="G1203" s="23"/>
      <c r="H1203" s="23"/>
      <c r="I1203" s="41">
        <v>495</v>
      </c>
      <c r="J1203" s="41">
        <v>808</v>
      </c>
      <c r="K1203" s="20"/>
      <c r="L1203" s="20"/>
      <c r="M1203" s="110">
        <f>IF(L1203="",I1203,(MIN(J1203,(L1203*1.6*J1203))))</f>
        <v>495</v>
      </c>
      <c r="N1203" s="111">
        <f>IF(M1203=0,0,(M1203/J1203))</f>
        <v>0.61262376237623761</v>
      </c>
    </row>
    <row r="1204" spans="2:14">
      <c r="B1204" s="72">
        <v>127641</v>
      </c>
      <c r="C1204" s="47" t="s">
        <v>778</v>
      </c>
      <c r="D1204" s="123">
        <f>SUMIF(B$3:B$3844,B1204,M$3:M$3844)/(SUMIF(B$3:B$3844,B1204,J$3:J$3844))</f>
        <v>0.71662478105247129</v>
      </c>
      <c r="E1204" s="47">
        <v>35521</v>
      </c>
      <c r="F1204" s="48" t="s">
        <v>830</v>
      </c>
      <c r="G1204" s="47"/>
      <c r="H1204" s="47"/>
      <c r="I1204" s="40"/>
      <c r="J1204" s="40">
        <v>624</v>
      </c>
      <c r="K1204" s="20">
        <v>2015</v>
      </c>
      <c r="L1204" s="20">
        <v>75.36</v>
      </c>
      <c r="M1204" s="110">
        <f>IF(L1204="",I1204,(MIN(J1204,(L1204*1.6*J1204))))</f>
        <v>624</v>
      </c>
      <c r="N1204" s="111">
        <f>IF(M1204=0,0,(M1204/J1204))</f>
        <v>1</v>
      </c>
    </row>
    <row r="1205" spans="2:14">
      <c r="B1205" s="73">
        <v>127641</v>
      </c>
      <c r="C1205" s="23" t="s">
        <v>778</v>
      </c>
      <c r="D1205" s="123">
        <f>SUMIF(B$3:B$3844,B1205,M$3:M$3844)/(SUMIF(B$3:B$3844,B1205,J$3:J$3844))</f>
        <v>0.71662478105247129</v>
      </c>
      <c r="E1205" s="23">
        <v>35532</v>
      </c>
      <c r="F1205" s="46" t="s">
        <v>831</v>
      </c>
      <c r="G1205" s="23"/>
      <c r="H1205" s="23"/>
      <c r="I1205" s="41"/>
      <c r="J1205" s="41">
        <v>459</v>
      </c>
      <c r="K1205" s="20">
        <v>2015</v>
      </c>
      <c r="L1205" s="20">
        <v>86.19</v>
      </c>
      <c r="M1205" s="110">
        <f>IF(L1205="",I1205,(MIN(J1205,(L1205*1.6*J1205))))</f>
        <v>459</v>
      </c>
      <c r="N1205" s="111">
        <f>IF(M1205=0,0,(M1205/J1205))</f>
        <v>1</v>
      </c>
    </row>
    <row r="1206" spans="2:14">
      <c r="B1206" s="72">
        <v>127641</v>
      </c>
      <c r="C1206" s="47" t="s">
        <v>778</v>
      </c>
      <c r="D1206" s="123">
        <f>SUMIF(B$3:B$3844,B1206,M$3:M$3844)/(SUMIF(B$3:B$3844,B1206,J$3:J$3844))</f>
        <v>0.71662478105247129</v>
      </c>
      <c r="E1206" s="47">
        <v>35534</v>
      </c>
      <c r="F1206" s="48" t="s">
        <v>832</v>
      </c>
      <c r="G1206" s="47"/>
      <c r="H1206" s="47"/>
      <c r="I1206" s="40"/>
      <c r="J1206" s="40">
        <v>669</v>
      </c>
      <c r="K1206" s="20">
        <v>2015</v>
      </c>
      <c r="L1206" s="20">
        <v>82.95</v>
      </c>
      <c r="M1206" s="110">
        <f>IF(L1206="",I1206,(MIN(J1206,(L1206*1.6*J1206))))</f>
        <v>669</v>
      </c>
      <c r="N1206" s="111">
        <f>IF(M1206=0,0,(M1206/J1206))</f>
        <v>1</v>
      </c>
    </row>
    <row r="1207" spans="2:14">
      <c r="B1207" s="73">
        <v>127641</v>
      </c>
      <c r="C1207" s="23" t="s">
        <v>778</v>
      </c>
      <c r="D1207" s="123">
        <f>SUMIF(B$3:B$3844,B1207,M$3:M$3844)/(SUMIF(B$3:B$3844,B1207,J$3:J$3844))</f>
        <v>0.71662478105247129</v>
      </c>
      <c r="E1207" s="23">
        <v>35507</v>
      </c>
      <c r="F1207" s="46" t="s">
        <v>833</v>
      </c>
      <c r="G1207" s="23"/>
      <c r="H1207" s="23"/>
      <c r="I1207" s="41">
        <v>943</v>
      </c>
      <c r="J1207" s="41">
        <v>1805</v>
      </c>
      <c r="K1207" s="20"/>
      <c r="L1207" s="20"/>
      <c r="M1207" s="110">
        <f>IF(L1207="",I1207,(MIN(J1207,(L1207*1.6*J1207))))</f>
        <v>943</v>
      </c>
      <c r="N1207" s="111">
        <f>IF(M1207=0,0,(M1207/J1207))</f>
        <v>0.52243767313019396</v>
      </c>
    </row>
    <row r="1208" spans="2:14">
      <c r="B1208" s="72">
        <v>127641</v>
      </c>
      <c r="C1208" s="47" t="s">
        <v>778</v>
      </c>
      <c r="D1208" s="123">
        <f>SUMIF(B$3:B$3844,B1208,M$3:M$3844)/(SUMIF(B$3:B$3844,B1208,J$3:J$3844))</f>
        <v>0.71662478105247129</v>
      </c>
      <c r="E1208" s="47">
        <v>230423</v>
      </c>
      <c r="F1208" s="48" t="s">
        <v>834</v>
      </c>
      <c r="G1208" s="47"/>
      <c r="H1208" s="47"/>
      <c r="I1208" s="40">
        <v>504</v>
      </c>
      <c r="J1208" s="40">
        <v>1300</v>
      </c>
      <c r="K1208" s="20"/>
      <c r="L1208" s="20"/>
      <c r="M1208" s="110">
        <f>IF(L1208="",I1208,(MIN(J1208,(L1208*1.6*J1208))))</f>
        <v>504</v>
      </c>
      <c r="N1208" s="111">
        <f>IF(M1208=0,0,(M1208/J1208))</f>
        <v>0.38769230769230767</v>
      </c>
    </row>
    <row r="1209" spans="2:14">
      <c r="B1209" s="73">
        <v>127641</v>
      </c>
      <c r="C1209" s="23" t="s">
        <v>778</v>
      </c>
      <c r="D1209" s="123">
        <f>SUMIF(B$3:B$3844,B1209,M$3:M$3844)/(SUMIF(B$3:B$3844,B1209,J$3:J$3844))</f>
        <v>0.71662478105247129</v>
      </c>
      <c r="E1209" s="23">
        <v>35524</v>
      </c>
      <c r="F1209" s="46" t="s">
        <v>835</v>
      </c>
      <c r="G1209" s="23"/>
      <c r="H1209" s="23"/>
      <c r="I1209" s="41"/>
      <c r="J1209" s="41">
        <v>460</v>
      </c>
      <c r="K1209" s="20">
        <v>2015</v>
      </c>
      <c r="L1209" s="20">
        <v>83.06</v>
      </c>
      <c r="M1209" s="110">
        <f>IF(L1209="",I1209,(MIN(J1209,(L1209*1.6*J1209))))</f>
        <v>460</v>
      </c>
      <c r="N1209" s="111">
        <f>IF(M1209=0,0,(M1209/J1209))</f>
        <v>1</v>
      </c>
    </row>
    <row r="1210" spans="2:14">
      <c r="B1210" s="72">
        <v>127641</v>
      </c>
      <c r="C1210" s="47" t="s">
        <v>778</v>
      </c>
      <c r="D1210" s="123">
        <f>SUMIF(B$3:B$3844,B1210,M$3:M$3844)/(SUMIF(B$3:B$3844,B1210,J$3:J$3844))</f>
        <v>0.71662478105247129</v>
      </c>
      <c r="E1210" s="47">
        <v>35504</v>
      </c>
      <c r="F1210" s="48" t="s">
        <v>836</v>
      </c>
      <c r="G1210" s="47"/>
      <c r="H1210" s="47"/>
      <c r="I1210" s="40"/>
      <c r="J1210" s="40">
        <v>827</v>
      </c>
      <c r="K1210" s="20">
        <v>2015</v>
      </c>
      <c r="L1210" s="20">
        <v>71.180000000000007</v>
      </c>
      <c r="M1210" s="110">
        <f>IF(L1210="",I1210,(MIN(J1210,(L1210*1.6*J1210))))</f>
        <v>827</v>
      </c>
      <c r="N1210" s="111">
        <f>IF(M1210=0,0,(M1210/J1210))</f>
        <v>1</v>
      </c>
    </row>
    <row r="1211" spans="2:14">
      <c r="B1211" s="73">
        <v>127572</v>
      </c>
      <c r="C1211" s="23" t="s">
        <v>1961</v>
      </c>
      <c r="D1211" s="123">
        <f>SUMIF(B$3:B$3844,B1211,M$3:M$3844)/(SUMIF(B$3:B$3844,B1211,J$3:J$3844))</f>
        <v>0.60633408540152089</v>
      </c>
      <c r="E1211" s="23">
        <v>16038693</v>
      </c>
      <c r="F1211" s="46" t="s">
        <v>1962</v>
      </c>
      <c r="G1211" s="23"/>
      <c r="H1211" s="23"/>
      <c r="I1211" s="41">
        <v>791</v>
      </c>
      <c r="J1211" s="41">
        <v>1428</v>
      </c>
      <c r="K1211" s="118"/>
      <c r="L1211" s="119"/>
      <c r="M1211" s="110">
        <f>IF(L1211="",I1211,(MIN(J1211,(L1211*1.6*J1211))))</f>
        <v>791</v>
      </c>
      <c r="N1211" s="111">
        <f>IF(M1211=0,0,(M1211/J1211))</f>
        <v>0.55392156862745101</v>
      </c>
    </row>
    <row r="1212" spans="2:14">
      <c r="B1212" s="72">
        <v>127572</v>
      </c>
      <c r="C1212" s="47" t="s">
        <v>1961</v>
      </c>
      <c r="D1212" s="123">
        <f>SUMIF(B$3:B$3844,B1212,M$3:M$3844)/(SUMIF(B$3:B$3844,B1212,J$3:J$3844))</f>
        <v>0.60633408540152089</v>
      </c>
      <c r="E1212" s="47">
        <v>34889</v>
      </c>
      <c r="F1212" s="48" t="s">
        <v>1963</v>
      </c>
      <c r="G1212" s="47"/>
      <c r="H1212" s="47"/>
      <c r="I1212" s="40">
        <v>719</v>
      </c>
      <c r="J1212" s="40">
        <v>1021</v>
      </c>
      <c r="K1212" s="118"/>
      <c r="L1212" s="119"/>
      <c r="M1212" s="110">
        <f>IF(L1212="",I1212,(MIN(J1212,(L1212*1.6*J1212))))</f>
        <v>719</v>
      </c>
      <c r="N1212" s="111">
        <f>IF(M1212=0,0,(M1212/J1212))</f>
        <v>0.70421155729676788</v>
      </c>
    </row>
    <row r="1213" spans="2:14">
      <c r="B1213" s="73">
        <v>127572</v>
      </c>
      <c r="C1213" s="23" t="s">
        <v>1961</v>
      </c>
      <c r="D1213" s="123">
        <f>SUMIF(B$3:B$3844,B1213,M$3:M$3844)/(SUMIF(B$3:B$3844,B1213,J$3:J$3844))</f>
        <v>0.60633408540152089</v>
      </c>
      <c r="E1213" s="23">
        <v>34890</v>
      </c>
      <c r="F1213" s="46" t="s">
        <v>1964</v>
      </c>
      <c r="G1213" s="23"/>
      <c r="H1213" s="23"/>
      <c r="I1213" s="41">
        <v>955</v>
      </c>
      <c r="J1213" s="41">
        <v>1271</v>
      </c>
      <c r="K1213" s="118"/>
      <c r="L1213" s="119"/>
      <c r="M1213" s="110">
        <f>IF(L1213="",I1213,(MIN(J1213,(L1213*1.6*J1213))))</f>
        <v>955</v>
      </c>
      <c r="N1213" s="111">
        <f>IF(M1213=0,0,(M1213/J1213))</f>
        <v>0.75137686860739572</v>
      </c>
    </row>
    <row r="1214" spans="2:14">
      <c r="B1214" s="72">
        <v>127572</v>
      </c>
      <c r="C1214" s="47" t="s">
        <v>1961</v>
      </c>
      <c r="D1214" s="123">
        <f>SUMIF(B$3:B$3844,B1214,M$3:M$3844)/(SUMIF(B$3:B$3844,B1214,J$3:J$3844))</f>
        <v>0.60633408540152089</v>
      </c>
      <c r="E1214" s="47"/>
      <c r="F1214" s="48" t="s">
        <v>1965</v>
      </c>
      <c r="G1214" s="47"/>
      <c r="H1214" s="47"/>
      <c r="I1214" s="40">
        <v>4</v>
      </c>
      <c r="J1214" s="40">
        <v>13</v>
      </c>
      <c r="K1214" s="118"/>
      <c r="L1214" s="119"/>
      <c r="M1214" s="110">
        <f>IF(L1214="",I1214,(MIN(J1214,(L1214*1.6*J1214))))</f>
        <v>4</v>
      </c>
      <c r="N1214" s="111">
        <f>IF(M1214=0,0,(M1214/J1214))</f>
        <v>0.30769230769230771</v>
      </c>
    </row>
    <row r="1215" spans="2:14">
      <c r="B1215" s="73">
        <v>127572</v>
      </c>
      <c r="C1215" s="23" t="s">
        <v>1961</v>
      </c>
      <c r="D1215" s="123">
        <f>SUMIF(B$3:B$3844,B1215,M$3:M$3844)/(SUMIF(B$3:B$3844,B1215,J$3:J$3844))</f>
        <v>0.60633408540152089</v>
      </c>
      <c r="E1215" s="23">
        <v>34887</v>
      </c>
      <c r="F1215" s="46" t="s">
        <v>1966</v>
      </c>
      <c r="G1215" s="23"/>
      <c r="H1215" s="23"/>
      <c r="I1215" s="41">
        <v>1460</v>
      </c>
      <c r="J1215" s="41">
        <v>2488</v>
      </c>
      <c r="K1215" s="118"/>
      <c r="L1215" s="119"/>
      <c r="M1215" s="110">
        <f>IF(L1215="",I1215,(MIN(J1215,(L1215*1.6*J1215))))</f>
        <v>1460</v>
      </c>
      <c r="N1215" s="111">
        <f>IF(M1215=0,0,(M1215/J1215))</f>
        <v>0.58681672025723475</v>
      </c>
    </row>
    <row r="1216" spans="2:14">
      <c r="B1216" s="72">
        <v>127572</v>
      </c>
      <c r="C1216" s="47" t="s">
        <v>1961</v>
      </c>
      <c r="D1216" s="123">
        <f>SUMIF(B$3:B$3844,B1216,M$3:M$3844)/(SUMIF(B$3:B$3844,B1216,J$3:J$3844))</f>
        <v>0.60633408540152089</v>
      </c>
      <c r="E1216" s="47"/>
      <c r="F1216" s="48" t="s">
        <v>1967</v>
      </c>
      <c r="G1216" s="47"/>
      <c r="H1216" s="47"/>
      <c r="I1216" s="40">
        <v>11</v>
      </c>
      <c r="J1216" s="40">
        <v>27</v>
      </c>
      <c r="K1216" s="118"/>
      <c r="L1216" s="119"/>
      <c r="M1216" s="110">
        <f>IF(L1216="",I1216,(MIN(J1216,(L1216*1.6*J1216))))</f>
        <v>11</v>
      </c>
      <c r="N1216" s="111">
        <f>IF(M1216=0,0,(M1216/J1216))</f>
        <v>0.40740740740740738</v>
      </c>
    </row>
    <row r="1217" spans="2:14">
      <c r="B1217" s="73">
        <v>127572</v>
      </c>
      <c r="C1217" s="23" t="s">
        <v>1961</v>
      </c>
      <c r="D1217" s="123">
        <f>SUMIF(B$3:B$3844,B1217,M$3:M$3844)/(SUMIF(B$3:B$3844,B1217,J$3:J$3844))</f>
        <v>0.60633408540152089</v>
      </c>
      <c r="E1217" s="23">
        <v>34945</v>
      </c>
      <c r="F1217" s="46" t="s">
        <v>1395</v>
      </c>
      <c r="G1217" s="23"/>
      <c r="H1217" s="23"/>
      <c r="I1217" s="41">
        <v>513</v>
      </c>
      <c r="J1217" s="41">
        <v>931</v>
      </c>
      <c r="K1217" s="118"/>
      <c r="L1217" s="119"/>
      <c r="M1217" s="110">
        <f>IF(L1217="",I1217,(MIN(J1217,(L1217*1.6*J1217))))</f>
        <v>513</v>
      </c>
      <c r="N1217" s="111">
        <f>IF(M1217=0,0,(M1217/J1217))</f>
        <v>0.55102040816326525</v>
      </c>
    </row>
    <row r="1218" spans="2:14">
      <c r="B1218" s="72">
        <v>127572</v>
      </c>
      <c r="C1218" s="47" t="s">
        <v>1961</v>
      </c>
      <c r="D1218" s="123">
        <f>SUMIF(B$3:B$3844,B1218,M$3:M$3844)/(SUMIF(B$3:B$3844,B1218,J$3:J$3844))</f>
        <v>0.60633408540152089</v>
      </c>
      <c r="E1218" s="47">
        <v>34946</v>
      </c>
      <c r="F1218" s="48" t="s">
        <v>1968</v>
      </c>
      <c r="G1218" s="47"/>
      <c r="H1218" s="47"/>
      <c r="I1218" s="40">
        <v>644</v>
      </c>
      <c r="J1218" s="40">
        <v>924</v>
      </c>
      <c r="K1218" s="118"/>
      <c r="L1218" s="119"/>
      <c r="M1218" s="110">
        <f>IF(L1218="",I1218,(MIN(J1218,(L1218*1.6*J1218))))</f>
        <v>644</v>
      </c>
      <c r="N1218" s="111">
        <f>IF(M1218=0,0,(M1218/J1218))</f>
        <v>0.69696969696969702</v>
      </c>
    </row>
    <row r="1219" spans="2:14">
      <c r="B1219" s="73">
        <v>127572</v>
      </c>
      <c r="C1219" s="23" t="s">
        <v>1961</v>
      </c>
      <c r="D1219" s="123">
        <f>SUMIF(B$3:B$3844,B1219,M$3:M$3844)/(SUMIF(B$3:B$3844,B1219,J$3:J$3844))</f>
        <v>0.60633408540152089</v>
      </c>
      <c r="E1219" s="23">
        <v>16024480</v>
      </c>
      <c r="F1219" s="46" t="s">
        <v>1969</v>
      </c>
      <c r="G1219" s="23"/>
      <c r="H1219" s="23"/>
      <c r="I1219" s="41">
        <v>789</v>
      </c>
      <c r="J1219" s="41">
        <v>1628</v>
      </c>
      <c r="K1219" s="118"/>
      <c r="L1219" s="119"/>
      <c r="M1219" s="110">
        <f>IF(L1219="",I1219,(MIN(J1219,(L1219*1.6*J1219))))</f>
        <v>789</v>
      </c>
      <c r="N1219" s="111">
        <f>IF(M1219=0,0,(M1219/J1219))</f>
        <v>0.48464373464373467</v>
      </c>
    </row>
    <row r="1220" spans="2:14">
      <c r="B1220" s="72">
        <v>127572</v>
      </c>
      <c r="C1220" s="47" t="s">
        <v>1961</v>
      </c>
      <c r="D1220" s="123">
        <f>SUMIF(B$3:B$3844,B1220,M$3:M$3844)/(SUMIF(B$3:B$3844,B1220,J$3:J$3844))</f>
        <v>0.60633408540152089</v>
      </c>
      <c r="E1220" s="47">
        <v>34891</v>
      </c>
      <c r="F1220" s="48" t="s">
        <v>1970</v>
      </c>
      <c r="G1220" s="47"/>
      <c r="H1220" s="47"/>
      <c r="I1220" s="40">
        <v>556</v>
      </c>
      <c r="J1220" s="40">
        <v>1096</v>
      </c>
      <c r="K1220" s="118"/>
      <c r="L1220" s="119"/>
      <c r="M1220" s="110">
        <f>IF(L1220="",I1220,(MIN(J1220,(L1220*1.6*J1220))))</f>
        <v>556</v>
      </c>
      <c r="N1220" s="111">
        <f>IF(M1220=0,0,(M1220/J1220))</f>
        <v>0.50729927007299269</v>
      </c>
    </row>
    <row r="1221" spans="2:14">
      <c r="B1221" s="73">
        <v>127572</v>
      </c>
      <c r="C1221" s="23" t="s">
        <v>1961</v>
      </c>
      <c r="D1221" s="123">
        <f>SUMIF(B$3:B$3844,B1221,M$3:M$3844)/(SUMIF(B$3:B$3844,B1221,J$3:J$3844))</f>
        <v>0.60633408540152089</v>
      </c>
      <c r="E1221" s="23">
        <v>16043052</v>
      </c>
      <c r="F1221" s="46" t="s">
        <v>1971</v>
      </c>
      <c r="G1221" s="23"/>
      <c r="H1221" s="23"/>
      <c r="I1221" s="41">
        <v>814</v>
      </c>
      <c r="J1221" s="41">
        <v>1140</v>
      </c>
      <c r="K1221" s="118"/>
      <c r="L1221" s="119"/>
      <c r="M1221" s="110">
        <f>IF(L1221="",I1221,(MIN(J1221,(L1221*1.6*J1221))))</f>
        <v>814</v>
      </c>
      <c r="N1221" s="111">
        <f>IF(M1221=0,0,(M1221/J1221))</f>
        <v>0.71403508771929824</v>
      </c>
    </row>
    <row r="1222" spans="2:14" ht="30">
      <c r="B1222" s="73">
        <v>127603</v>
      </c>
      <c r="C1222" s="23" t="s">
        <v>1972</v>
      </c>
      <c r="D1222" s="123">
        <f>SUMIF(B$3:B$3844,B1222,M$3:M$3844)/(SUMIF(B$3:B$3844,B1222,J$3:J$3844))</f>
        <v>1</v>
      </c>
      <c r="E1222" s="23">
        <v>16074665</v>
      </c>
      <c r="F1222" s="46" t="s">
        <v>1973</v>
      </c>
      <c r="G1222" s="23"/>
      <c r="H1222" s="23"/>
      <c r="I1222" s="41"/>
      <c r="J1222" s="41">
        <v>0</v>
      </c>
      <c r="K1222" s="20"/>
      <c r="L1222" s="21"/>
      <c r="M1222" s="110">
        <f>IF(L1222="",I1222,(MIN(J1222,(L1222*1.6*J1222))))</f>
        <v>0</v>
      </c>
      <c r="N1222" s="111">
        <f>IF(M1222=0,0,(M1222/J1222))</f>
        <v>0</v>
      </c>
    </row>
    <row r="1223" spans="2:14">
      <c r="B1223" s="72">
        <v>127603</v>
      </c>
      <c r="C1223" s="47" t="s">
        <v>1972</v>
      </c>
      <c r="D1223" s="123">
        <f>SUMIF(B$3:B$3844,B1223,M$3:M$3844)/(SUMIF(B$3:B$3844,B1223,J$3:J$3844))</f>
        <v>1</v>
      </c>
      <c r="E1223" s="47">
        <v>16034557</v>
      </c>
      <c r="F1223" s="48" t="str">
        <f>"FRANKLIN COUNTY SCHOOLS PK-12"</f>
        <v>FRANKLIN COUNTY SCHOOLS PK-12</v>
      </c>
      <c r="G1223" s="47"/>
      <c r="H1223" s="47"/>
      <c r="I1223" s="40"/>
      <c r="J1223" s="40">
        <v>943</v>
      </c>
      <c r="K1223" s="20">
        <v>2014</v>
      </c>
      <c r="L1223" s="21">
        <v>0.68290000000000006</v>
      </c>
      <c r="M1223" s="110">
        <f>IF(L1223="",I1223,(MIN(J1223,(L1223*1.6*J1223))))</f>
        <v>943</v>
      </c>
      <c r="N1223" s="111">
        <f>IF(M1223=0,0,(M1223/J1223))</f>
        <v>1</v>
      </c>
    </row>
    <row r="1224" spans="2:14">
      <c r="B1224" s="73">
        <v>127617</v>
      </c>
      <c r="C1224" s="23" t="s">
        <v>1974</v>
      </c>
      <c r="D1224" s="123">
        <f>SUMIF(B$3:B$3844,B1224,M$3:M$3844)/(SUMIF(B$3:B$3844,B1224,J$3:J$3844))</f>
        <v>1</v>
      </c>
      <c r="E1224" s="23">
        <v>212301</v>
      </c>
      <c r="F1224" s="46" t="s">
        <v>1975</v>
      </c>
      <c r="G1224" s="23"/>
      <c r="H1224" s="23"/>
      <c r="I1224" s="41"/>
      <c r="J1224" s="41">
        <v>13</v>
      </c>
      <c r="K1224" s="20">
        <v>2014</v>
      </c>
      <c r="L1224" s="21">
        <v>0.67260000000000009</v>
      </c>
      <c r="M1224" s="110">
        <f>IF(L1224="",I1224,(MIN(J1224,(L1224*1.6*J1224))))</f>
        <v>13</v>
      </c>
      <c r="N1224" s="111">
        <f>IF(M1224=0,0,(M1224/J1224))</f>
        <v>1</v>
      </c>
    </row>
    <row r="1225" spans="2:14">
      <c r="B1225" s="72">
        <v>127617</v>
      </c>
      <c r="C1225" s="47" t="s">
        <v>1974</v>
      </c>
      <c r="D1225" s="123">
        <f>SUMIF(B$3:B$3844,B1225,M$3:M$3844)/(SUMIF(B$3:B$3844,B1225,J$3:J$3844))</f>
        <v>1</v>
      </c>
      <c r="E1225" s="47">
        <v>35361</v>
      </c>
      <c r="F1225" s="48" t="s">
        <v>1976</v>
      </c>
      <c r="G1225" s="47"/>
      <c r="H1225" s="47"/>
      <c r="I1225" s="40"/>
      <c r="J1225" s="40">
        <v>224</v>
      </c>
      <c r="K1225" s="20">
        <v>2014</v>
      </c>
      <c r="L1225" s="21">
        <v>0.67260000000000009</v>
      </c>
      <c r="M1225" s="110">
        <f>IF(L1225="",I1225,(MIN(J1225,(L1225*1.6*J1225))))</f>
        <v>224</v>
      </c>
      <c r="N1225" s="111">
        <f>IF(M1225=0,0,(M1225/J1225))</f>
        <v>1</v>
      </c>
    </row>
    <row r="1226" spans="2:14">
      <c r="B1226" s="73">
        <v>127617</v>
      </c>
      <c r="C1226" s="23" t="s">
        <v>1974</v>
      </c>
      <c r="D1226" s="123">
        <f>SUMIF(B$3:B$3844,B1226,M$3:M$3844)/(SUMIF(B$3:B$3844,B1226,J$3:J$3844))</f>
        <v>1</v>
      </c>
      <c r="E1226" s="23">
        <v>35316</v>
      </c>
      <c r="F1226" s="46" t="s">
        <v>1977</v>
      </c>
      <c r="G1226" s="23"/>
      <c r="H1226" s="23"/>
      <c r="I1226" s="41"/>
      <c r="J1226" s="41">
        <v>188</v>
      </c>
      <c r="K1226" s="20">
        <v>2014</v>
      </c>
      <c r="L1226" s="21">
        <v>0.67260000000000009</v>
      </c>
      <c r="M1226" s="110">
        <f>IF(L1226="",I1226,(MIN(J1226,(L1226*1.6*J1226))))</f>
        <v>188</v>
      </c>
      <c r="N1226" s="111">
        <f>IF(M1226=0,0,(M1226/J1226))</f>
        <v>1</v>
      </c>
    </row>
    <row r="1227" spans="2:14">
      <c r="B1227" s="72">
        <v>127617</v>
      </c>
      <c r="C1227" s="47" t="s">
        <v>1974</v>
      </c>
      <c r="D1227" s="123">
        <f>SUMIF(B$3:B$3844,B1227,M$3:M$3844)/(SUMIF(B$3:B$3844,B1227,J$3:J$3844))</f>
        <v>1</v>
      </c>
      <c r="E1227" s="47">
        <v>227385</v>
      </c>
      <c r="F1227" s="48" t="s">
        <v>1978</v>
      </c>
      <c r="G1227" s="47"/>
      <c r="H1227" s="47"/>
      <c r="I1227" s="40"/>
      <c r="J1227" s="40">
        <v>835</v>
      </c>
      <c r="K1227" s="20">
        <v>2014</v>
      </c>
      <c r="L1227" s="21">
        <v>0.67260000000000009</v>
      </c>
      <c r="M1227" s="110">
        <f>IF(L1227="",I1227,(MIN(J1227,(L1227*1.6*J1227))))</f>
        <v>835</v>
      </c>
      <c r="N1227" s="111">
        <f>IF(M1227=0,0,(M1227/J1227))</f>
        <v>1</v>
      </c>
    </row>
    <row r="1228" spans="2:14" ht="30">
      <c r="B1228" s="73">
        <v>127617</v>
      </c>
      <c r="C1228" s="23" t="s">
        <v>1974</v>
      </c>
      <c r="D1228" s="123">
        <f>SUMIF(B$3:B$3844,B1228,M$3:M$3844)/(SUMIF(B$3:B$3844,B1228,J$3:J$3844))</f>
        <v>1</v>
      </c>
      <c r="E1228" s="23">
        <v>35358</v>
      </c>
      <c r="F1228" s="46" t="s">
        <v>1979</v>
      </c>
      <c r="G1228" s="23"/>
      <c r="H1228" s="23"/>
      <c r="I1228" s="41"/>
      <c r="J1228" s="41">
        <v>0</v>
      </c>
      <c r="K1228" s="20"/>
      <c r="L1228" s="21"/>
      <c r="M1228" s="110">
        <f>IF(L1228="",I1228,(MIN(J1228,(L1228*1.6*J1228))))</f>
        <v>0</v>
      </c>
      <c r="N1228" s="111">
        <f>IF(M1228=0,0,(M1228/J1228))</f>
        <v>0</v>
      </c>
    </row>
    <row r="1229" spans="2:14">
      <c r="B1229" s="72">
        <v>127617</v>
      </c>
      <c r="C1229" s="47" t="s">
        <v>1974</v>
      </c>
      <c r="D1229" s="123">
        <f>SUMIF(B$3:B$3844,B1229,M$3:M$3844)/(SUMIF(B$3:B$3844,B1229,J$3:J$3844))</f>
        <v>1</v>
      </c>
      <c r="E1229" s="47">
        <v>161851</v>
      </c>
      <c r="F1229" s="48" t="s">
        <v>1980</v>
      </c>
      <c r="G1229" s="47"/>
      <c r="H1229" s="47"/>
      <c r="I1229" s="40"/>
      <c r="J1229" s="40">
        <v>20</v>
      </c>
      <c r="K1229" s="20">
        <v>2014</v>
      </c>
      <c r="L1229" s="21">
        <v>0.67260000000000009</v>
      </c>
      <c r="M1229" s="110">
        <f>IF(L1229="",I1229,(MIN(J1229,(L1229*1.6*J1229))))</f>
        <v>20</v>
      </c>
      <c r="N1229" s="111">
        <f>IF(M1229=0,0,(M1229/J1229))</f>
        <v>1</v>
      </c>
    </row>
    <row r="1230" spans="2:14">
      <c r="B1230" s="73">
        <v>127617</v>
      </c>
      <c r="C1230" s="23" t="s">
        <v>1974</v>
      </c>
      <c r="D1230" s="123">
        <f>SUMIF(B$3:B$3844,B1230,M$3:M$3844)/(SUMIF(B$3:B$3844,B1230,J$3:J$3844))</f>
        <v>1</v>
      </c>
      <c r="E1230" s="23">
        <v>225508</v>
      </c>
      <c r="F1230" s="46" t="s">
        <v>1981</v>
      </c>
      <c r="G1230" s="23"/>
      <c r="H1230" s="23"/>
      <c r="I1230" s="41"/>
      <c r="J1230" s="41">
        <v>149</v>
      </c>
      <c r="K1230" s="20">
        <v>2014</v>
      </c>
      <c r="L1230" s="21">
        <v>0.67260000000000009</v>
      </c>
      <c r="M1230" s="110">
        <f>IF(L1230="",I1230,(MIN(J1230,(L1230*1.6*J1230))))</f>
        <v>149</v>
      </c>
      <c r="N1230" s="111">
        <f>IF(M1230=0,0,(M1230/J1230))</f>
        <v>1</v>
      </c>
    </row>
    <row r="1231" spans="2:14">
      <c r="B1231" s="72">
        <v>127617</v>
      </c>
      <c r="C1231" s="47" t="s">
        <v>1974</v>
      </c>
      <c r="D1231" s="123">
        <f>SUMIF(B$3:B$3844,B1231,M$3:M$3844)/(SUMIF(B$3:B$3844,B1231,J$3:J$3844))</f>
        <v>1</v>
      </c>
      <c r="E1231" s="47">
        <v>35362</v>
      </c>
      <c r="F1231" s="48" t="s">
        <v>1982</v>
      </c>
      <c r="G1231" s="47"/>
      <c r="H1231" s="47"/>
      <c r="I1231" s="40"/>
      <c r="J1231" s="40" t="s">
        <v>798</v>
      </c>
      <c r="K1231" s="20"/>
      <c r="L1231" s="21"/>
      <c r="M1231" s="110">
        <f>IF(L1231="",I1231,(MIN(J1231,(L1231*1.6*J1231))))</f>
        <v>0</v>
      </c>
      <c r="N1231" s="111">
        <f>IF(M1231=0,0,(M1231/J1231))</f>
        <v>0</v>
      </c>
    </row>
    <row r="1232" spans="2:14">
      <c r="B1232" s="73">
        <v>127617</v>
      </c>
      <c r="C1232" s="23" t="s">
        <v>1974</v>
      </c>
      <c r="D1232" s="123">
        <f>SUMIF(B$3:B$3844,B1232,M$3:M$3844)/(SUMIF(B$3:B$3844,B1232,J$3:J$3844))</f>
        <v>1</v>
      </c>
      <c r="E1232" s="23">
        <v>35360</v>
      </c>
      <c r="F1232" s="46" t="s">
        <v>1983</v>
      </c>
      <c r="G1232" s="23"/>
      <c r="H1232" s="23"/>
      <c r="I1232" s="41"/>
      <c r="J1232" s="41">
        <v>555</v>
      </c>
      <c r="K1232" s="20">
        <v>2014</v>
      </c>
      <c r="L1232" s="21">
        <v>0.67260000000000009</v>
      </c>
      <c r="M1232" s="110">
        <f>IF(L1232="",I1232,(MIN(J1232,(L1232*1.6*J1232))))</f>
        <v>555</v>
      </c>
      <c r="N1232" s="111">
        <f>IF(M1232=0,0,(M1232/J1232))</f>
        <v>1</v>
      </c>
    </row>
    <row r="1233" spans="2:14">
      <c r="B1233" s="72">
        <v>127617</v>
      </c>
      <c r="C1233" s="47" t="s">
        <v>1974</v>
      </c>
      <c r="D1233" s="123">
        <f>SUMIF(B$3:B$3844,B1233,M$3:M$3844)/(SUMIF(B$3:B$3844,B1233,J$3:J$3844))</f>
        <v>1</v>
      </c>
      <c r="E1233" s="47">
        <v>35366</v>
      </c>
      <c r="F1233" s="48" t="s">
        <v>1984</v>
      </c>
      <c r="G1233" s="47"/>
      <c r="H1233" s="47"/>
      <c r="I1233" s="40"/>
      <c r="J1233" s="40">
        <v>347</v>
      </c>
      <c r="K1233" s="20">
        <v>2014</v>
      </c>
      <c r="L1233" s="21">
        <v>0.67260000000000009</v>
      </c>
      <c r="M1233" s="110">
        <f>IF(L1233="",I1233,(MIN(J1233,(L1233*1.6*J1233))))</f>
        <v>347</v>
      </c>
      <c r="N1233" s="111">
        <f>IF(M1233=0,0,(M1233/J1233))</f>
        <v>1</v>
      </c>
    </row>
    <row r="1234" spans="2:14">
      <c r="B1234" s="73">
        <v>127617</v>
      </c>
      <c r="C1234" s="23" t="s">
        <v>1974</v>
      </c>
      <c r="D1234" s="123">
        <f>SUMIF(B$3:B$3844,B1234,M$3:M$3844)/(SUMIF(B$3:B$3844,B1234,J$3:J$3844))</f>
        <v>1</v>
      </c>
      <c r="E1234" s="23">
        <v>35367</v>
      </c>
      <c r="F1234" s="46" t="s">
        <v>1985</v>
      </c>
      <c r="G1234" s="23"/>
      <c r="H1234" s="23"/>
      <c r="I1234" s="41"/>
      <c r="J1234" s="41">
        <v>282</v>
      </c>
      <c r="K1234" s="20">
        <v>2014</v>
      </c>
      <c r="L1234" s="21">
        <v>0.67260000000000009</v>
      </c>
      <c r="M1234" s="110">
        <f>IF(L1234="",I1234,(MIN(J1234,(L1234*1.6*J1234))))</f>
        <v>282</v>
      </c>
      <c r="N1234" s="111">
        <f>IF(M1234=0,0,(M1234/J1234))</f>
        <v>1</v>
      </c>
    </row>
    <row r="1235" spans="2:14">
      <c r="B1235" s="72">
        <v>127617</v>
      </c>
      <c r="C1235" s="47" t="s">
        <v>1974</v>
      </c>
      <c r="D1235" s="123">
        <f>SUMIF(B$3:B$3844,B1235,M$3:M$3844)/(SUMIF(B$3:B$3844,B1235,J$3:J$3844))</f>
        <v>1</v>
      </c>
      <c r="E1235" s="47">
        <v>35331</v>
      </c>
      <c r="F1235" s="48" t="s">
        <v>1986</v>
      </c>
      <c r="G1235" s="47"/>
      <c r="H1235" s="47"/>
      <c r="I1235" s="40"/>
      <c r="J1235" s="40">
        <v>0</v>
      </c>
      <c r="K1235" s="20"/>
      <c r="L1235" s="21"/>
      <c r="M1235" s="110">
        <f>IF(L1235="",I1235,(MIN(J1235,(L1235*1.6*J1235))))</f>
        <v>0</v>
      </c>
      <c r="N1235" s="111">
        <f>IF(M1235=0,0,(M1235/J1235))</f>
        <v>0</v>
      </c>
    </row>
    <row r="1236" spans="2:14">
      <c r="B1236" s="73">
        <v>127617</v>
      </c>
      <c r="C1236" s="23" t="s">
        <v>1974</v>
      </c>
      <c r="D1236" s="123">
        <f>SUMIF(B$3:B$3844,B1236,M$3:M$3844)/(SUMIF(B$3:B$3844,B1236,J$3:J$3844))</f>
        <v>1</v>
      </c>
      <c r="E1236" s="23">
        <v>169693</v>
      </c>
      <c r="F1236" s="46" t="s">
        <v>1987</v>
      </c>
      <c r="G1236" s="23"/>
      <c r="H1236" s="23"/>
      <c r="I1236" s="41"/>
      <c r="J1236" s="41">
        <v>20</v>
      </c>
      <c r="K1236" s="20">
        <v>2014</v>
      </c>
      <c r="L1236" s="21">
        <v>0.67260000000000009</v>
      </c>
      <c r="M1236" s="110">
        <f>IF(L1236="",I1236,(MIN(J1236,(L1236*1.6*J1236))))</f>
        <v>20</v>
      </c>
      <c r="N1236" s="111">
        <f>IF(M1236=0,0,(M1236/J1236))</f>
        <v>1</v>
      </c>
    </row>
    <row r="1237" spans="2:14">
      <c r="B1237" s="72">
        <v>127617</v>
      </c>
      <c r="C1237" s="47" t="s">
        <v>1974</v>
      </c>
      <c r="D1237" s="123">
        <f>SUMIF(B$3:B$3844,B1237,M$3:M$3844)/(SUMIF(B$3:B$3844,B1237,J$3:J$3844))</f>
        <v>1</v>
      </c>
      <c r="E1237" s="47">
        <v>35357</v>
      </c>
      <c r="F1237" s="48" t="s">
        <v>1988</v>
      </c>
      <c r="G1237" s="47"/>
      <c r="H1237" s="47"/>
      <c r="I1237" s="40"/>
      <c r="J1237" s="40">
        <v>477</v>
      </c>
      <c r="K1237" s="20">
        <v>2014</v>
      </c>
      <c r="L1237" s="21">
        <v>0.67260000000000009</v>
      </c>
      <c r="M1237" s="110">
        <f>IF(L1237="",I1237,(MIN(J1237,(L1237*1.6*J1237))))</f>
        <v>477</v>
      </c>
      <c r="N1237" s="111">
        <f>IF(M1237=0,0,(M1237/J1237))</f>
        <v>1</v>
      </c>
    </row>
    <row r="1238" spans="2:14">
      <c r="B1238" s="73">
        <v>127617</v>
      </c>
      <c r="C1238" s="23" t="s">
        <v>1974</v>
      </c>
      <c r="D1238" s="123">
        <f>SUMIF(B$3:B$3844,B1238,M$3:M$3844)/(SUMIF(B$3:B$3844,B1238,J$3:J$3844))</f>
        <v>1</v>
      </c>
      <c r="E1238" s="23">
        <v>35365</v>
      </c>
      <c r="F1238" s="46" t="s">
        <v>1989</v>
      </c>
      <c r="G1238" s="23"/>
      <c r="H1238" s="23"/>
      <c r="I1238" s="41"/>
      <c r="J1238" s="41">
        <v>225</v>
      </c>
      <c r="K1238" s="20">
        <v>2014</v>
      </c>
      <c r="L1238" s="21">
        <v>0.67260000000000009</v>
      </c>
      <c r="M1238" s="110">
        <f>IF(L1238="",I1238,(MIN(J1238,(L1238*1.6*J1238))))</f>
        <v>225</v>
      </c>
      <c r="N1238" s="111">
        <f>IF(M1238=0,0,(M1238/J1238))</f>
        <v>1</v>
      </c>
    </row>
    <row r="1239" spans="2:14">
      <c r="B1239" s="72">
        <v>127617</v>
      </c>
      <c r="C1239" s="47" t="s">
        <v>1974</v>
      </c>
      <c r="D1239" s="123">
        <f>SUMIF(B$3:B$3844,B1239,M$3:M$3844)/(SUMIF(B$3:B$3844,B1239,J$3:J$3844))</f>
        <v>1</v>
      </c>
      <c r="E1239" s="47">
        <v>35363</v>
      </c>
      <c r="F1239" s="48" t="s">
        <v>1990</v>
      </c>
      <c r="G1239" s="47"/>
      <c r="H1239" s="47"/>
      <c r="I1239" s="40"/>
      <c r="J1239" s="40">
        <v>694</v>
      </c>
      <c r="K1239" s="20">
        <v>2014</v>
      </c>
      <c r="L1239" s="21">
        <v>0.67260000000000009</v>
      </c>
      <c r="M1239" s="110">
        <f>IF(L1239="",I1239,(MIN(J1239,(L1239*1.6*J1239))))</f>
        <v>694</v>
      </c>
      <c r="N1239" s="111">
        <f>IF(M1239=0,0,(M1239/J1239))</f>
        <v>1</v>
      </c>
    </row>
    <row r="1240" spans="2:14">
      <c r="B1240" s="73">
        <v>127617</v>
      </c>
      <c r="C1240" s="23" t="s">
        <v>1974</v>
      </c>
      <c r="D1240" s="123">
        <f>SUMIF(B$3:B$3844,B1240,M$3:M$3844)/(SUMIF(B$3:B$3844,B1240,J$3:J$3844))</f>
        <v>1</v>
      </c>
      <c r="E1240" s="23">
        <v>16034655</v>
      </c>
      <c r="F1240" s="46" t="s">
        <v>1991</v>
      </c>
      <c r="G1240" s="23"/>
      <c r="H1240" s="23"/>
      <c r="I1240" s="41"/>
      <c r="J1240" s="41">
        <v>479</v>
      </c>
      <c r="K1240" s="20">
        <v>2014</v>
      </c>
      <c r="L1240" s="21">
        <v>0.67260000000000009</v>
      </c>
      <c r="M1240" s="110">
        <f>IF(L1240="",I1240,(MIN(J1240,(L1240*1.6*J1240))))</f>
        <v>479</v>
      </c>
      <c r="N1240" s="111">
        <f>IF(M1240=0,0,(M1240/J1240))</f>
        <v>1</v>
      </c>
    </row>
    <row r="1241" spans="2:14">
      <c r="B1241" s="73">
        <v>1200630</v>
      </c>
      <c r="C1241" s="23" t="s">
        <v>1992</v>
      </c>
      <c r="D1241" s="123">
        <f>SUMIF(B$3:B$3844,B1241,M$3:M$3844)/(SUMIF(B$3:B$3844,B1241,J$3:J$3844))</f>
        <v>1</v>
      </c>
      <c r="E1241" s="23">
        <v>35719</v>
      </c>
      <c r="F1241" s="46" t="s">
        <v>1993</v>
      </c>
      <c r="G1241" s="23"/>
      <c r="H1241" s="23"/>
      <c r="I1241" s="41"/>
      <c r="J1241" s="41">
        <v>567</v>
      </c>
      <c r="K1241" s="20">
        <v>2015</v>
      </c>
      <c r="L1241" s="21">
        <v>1</v>
      </c>
      <c r="M1241" s="110">
        <f>IF(L1241="",I1241,(MIN(J1241,(L1241*1.6*J1241))))</f>
        <v>567</v>
      </c>
      <c r="N1241" s="111">
        <f>IF(M1241=0,0,(M1241/J1241))</f>
        <v>1</v>
      </c>
    </row>
    <row r="1242" spans="2:14">
      <c r="B1242" s="72">
        <v>1200630</v>
      </c>
      <c r="C1242" s="47" t="s">
        <v>1992</v>
      </c>
      <c r="D1242" s="123">
        <f>SUMIF(B$3:B$3844,B1242,M$3:M$3844)/(SUMIF(B$3:B$3844,B1242,J$3:J$3844))</f>
        <v>1</v>
      </c>
      <c r="E1242" s="47">
        <v>35718</v>
      </c>
      <c r="F1242" s="48" t="s">
        <v>1994</v>
      </c>
      <c r="G1242" s="47"/>
      <c r="H1242" s="47"/>
      <c r="I1242" s="40"/>
      <c r="J1242" s="40">
        <v>680</v>
      </c>
      <c r="K1242" s="20">
        <v>2015</v>
      </c>
      <c r="L1242" s="21">
        <v>0.71040000000000003</v>
      </c>
      <c r="M1242" s="110">
        <f>IF(L1242="",I1242,(MIN(J1242,(L1242*1.6*J1242))))</f>
        <v>680</v>
      </c>
      <c r="N1242" s="111">
        <f>IF(M1242=0,0,(M1242/J1242))</f>
        <v>1</v>
      </c>
    </row>
    <row r="1243" spans="2:14">
      <c r="B1243" s="73">
        <v>1200630</v>
      </c>
      <c r="C1243" s="23" t="s">
        <v>1992</v>
      </c>
      <c r="D1243" s="123">
        <f>SUMIF(B$3:B$3844,B1243,M$3:M$3844)/(SUMIF(B$3:B$3844,B1243,J$3:J$3844))</f>
        <v>1</v>
      </c>
      <c r="E1243" s="23">
        <v>35772</v>
      </c>
      <c r="F1243" s="46" t="s">
        <v>1995</v>
      </c>
      <c r="G1243" s="23"/>
      <c r="H1243" s="23"/>
      <c r="I1243" s="41"/>
      <c r="J1243" s="41">
        <v>830</v>
      </c>
      <c r="K1243" s="20">
        <v>2015</v>
      </c>
      <c r="L1243" s="21">
        <v>0.96579999999999999</v>
      </c>
      <c r="M1243" s="110">
        <f>IF(L1243="",I1243,(MIN(J1243,(L1243*1.6*J1243))))</f>
        <v>830</v>
      </c>
      <c r="N1243" s="111">
        <f>IF(M1243=0,0,(M1243/J1243))</f>
        <v>1</v>
      </c>
    </row>
    <row r="1244" spans="2:14">
      <c r="B1244" s="72">
        <v>1200630</v>
      </c>
      <c r="C1244" s="47" t="s">
        <v>1992</v>
      </c>
      <c r="D1244" s="123">
        <f>SUMIF(B$3:B$3844,B1244,M$3:M$3844)/(SUMIF(B$3:B$3844,B1244,J$3:J$3844))</f>
        <v>1</v>
      </c>
      <c r="E1244" s="47">
        <v>35773</v>
      </c>
      <c r="F1244" s="48" t="s">
        <v>1996</v>
      </c>
      <c r="G1244" s="47"/>
      <c r="H1244" s="47"/>
      <c r="I1244" s="40"/>
      <c r="J1244" s="40">
        <v>680</v>
      </c>
      <c r="K1244" s="20">
        <v>2015</v>
      </c>
      <c r="L1244" s="21">
        <v>0.71040000000000003</v>
      </c>
      <c r="M1244" s="110">
        <f>IF(L1244="",I1244,(MIN(J1244,(L1244*1.6*J1244))))</f>
        <v>680</v>
      </c>
      <c r="N1244" s="111">
        <f>IF(M1244=0,0,(M1244/J1244))</f>
        <v>1</v>
      </c>
    </row>
    <row r="1245" spans="2:14">
      <c r="B1245" s="73">
        <v>127771</v>
      </c>
      <c r="C1245" s="23" t="str">
        <f>"GLADES"</f>
        <v>GLADES</v>
      </c>
      <c r="D1245" s="123">
        <f>SUMIF(B$3:B$3844,B1245,M$3:M$3844)/(SUMIF(B$3:B$3844,B1245,J$3:J$3844))</f>
        <v>0.82464000000000004</v>
      </c>
      <c r="E1245" s="23">
        <v>37491</v>
      </c>
      <c r="F1245" s="46" t="str">
        <f>"MOORE HAVEN ELEMENTARY SCHOOL"</f>
        <v>MOORE HAVEN ELEMENTARY SCHOOL</v>
      </c>
      <c r="G1245" s="23"/>
      <c r="H1245" s="23"/>
      <c r="I1245" s="41"/>
      <c r="J1245" s="41">
        <v>402</v>
      </c>
      <c r="K1245" s="20">
        <v>2015</v>
      </c>
      <c r="L1245" s="21">
        <v>0.51539999999999997</v>
      </c>
      <c r="M1245" s="110">
        <f>IF(L1245="",I1245,(MIN(J1245,(L1245*1.6*J1245))))</f>
        <v>331.50528000000003</v>
      </c>
      <c r="N1245" s="111">
        <f>IF(M1245=0,0,(M1245/J1245))</f>
        <v>0.82464000000000004</v>
      </c>
    </row>
    <row r="1246" spans="2:14">
      <c r="B1246" s="72">
        <v>127771</v>
      </c>
      <c r="C1246" s="47" t="str">
        <f>"GLADES"</f>
        <v>GLADES</v>
      </c>
      <c r="D1246" s="123">
        <f>SUMIF(B$3:B$3844,B1246,M$3:M$3844)/(SUMIF(B$3:B$3844,B1246,J$3:J$3844))</f>
        <v>0.82464000000000004</v>
      </c>
      <c r="E1246" s="47">
        <v>37490</v>
      </c>
      <c r="F1246" s="48" t="s">
        <v>1997</v>
      </c>
      <c r="G1246" s="47"/>
      <c r="H1246" s="47"/>
      <c r="I1246" s="40"/>
      <c r="J1246" s="40">
        <v>435</v>
      </c>
      <c r="K1246" s="20">
        <v>2015</v>
      </c>
      <c r="L1246" s="21">
        <v>0.51539999999999997</v>
      </c>
      <c r="M1246" s="110">
        <f>IF(L1246="",I1246,(MIN(J1246,(L1246*1.6*J1246))))</f>
        <v>358.71840000000003</v>
      </c>
      <c r="N1246" s="111">
        <f>IF(M1246=0,0,(M1246/J1246))</f>
        <v>0.82464000000000004</v>
      </c>
    </row>
    <row r="1247" spans="2:14">
      <c r="B1247" s="73">
        <v>127771</v>
      </c>
      <c r="C1247" s="23" t="str">
        <f>"GLADES"</f>
        <v>GLADES</v>
      </c>
      <c r="D1247" s="123">
        <f>SUMIF(B$3:B$3844,B1247,M$3:M$3844)/(SUMIF(B$3:B$3844,B1247,J$3:J$3844))</f>
        <v>0.82464000000000004</v>
      </c>
      <c r="E1247" s="23">
        <v>16022384</v>
      </c>
      <c r="F1247" s="46" t="str">
        <f>"WEST GLADES SCHOOL"</f>
        <v>WEST GLADES SCHOOL</v>
      </c>
      <c r="G1247" s="23"/>
      <c r="H1247" s="23"/>
      <c r="I1247" s="41"/>
      <c r="J1247" s="41">
        <v>532</v>
      </c>
      <c r="K1247" s="20">
        <v>2015</v>
      </c>
      <c r="L1247" s="21">
        <v>0.51539999999999997</v>
      </c>
      <c r="M1247" s="110">
        <f>IF(L1247="",I1247,(MIN(J1247,(L1247*1.6*J1247))))</f>
        <v>438.70848000000001</v>
      </c>
      <c r="N1247" s="111">
        <f>IF(M1247=0,0,(M1247/J1247))</f>
        <v>0.82464000000000004</v>
      </c>
    </row>
    <row r="1248" spans="2:14">
      <c r="B1248" s="73">
        <v>127639</v>
      </c>
      <c r="C1248" s="23" t="s">
        <v>1998</v>
      </c>
      <c r="D1248" s="123">
        <f>SUMIF(B$3:B$3844,B1248,M$3:M$3844)/(SUMIF(B$3:B$3844,B1248,J$3:J$3844))</f>
        <v>0.60865087538619977</v>
      </c>
      <c r="E1248" s="23">
        <v>35464</v>
      </c>
      <c r="F1248" s="46" t="s">
        <v>1999</v>
      </c>
      <c r="G1248" s="23"/>
      <c r="H1248" s="23"/>
      <c r="I1248" s="41"/>
      <c r="J1248" s="41">
        <v>0</v>
      </c>
      <c r="K1248" s="118"/>
      <c r="L1248" s="119"/>
      <c r="M1248" s="110">
        <f>IF(L1248="",I1248,(MIN(J1248,(L1248*1.6*J1248))))</f>
        <v>0</v>
      </c>
      <c r="N1248" s="111">
        <f>IF(M1248=0,0,(M1248/J1248))</f>
        <v>0</v>
      </c>
    </row>
    <row r="1249" spans="2:14">
      <c r="B1249" s="72">
        <v>127639</v>
      </c>
      <c r="C1249" s="47" t="s">
        <v>1998</v>
      </c>
      <c r="D1249" s="123">
        <f>SUMIF(B$3:B$3844,B1249,M$3:M$3844)/(SUMIF(B$3:B$3844,B1249,J$3:J$3844))</f>
        <v>0.60865087538619977</v>
      </c>
      <c r="E1249" s="47">
        <v>35465</v>
      </c>
      <c r="F1249" s="48" t="s">
        <v>2000</v>
      </c>
      <c r="G1249" s="47"/>
      <c r="H1249" s="47"/>
      <c r="I1249" s="40">
        <v>361</v>
      </c>
      <c r="J1249" s="40">
        <v>568</v>
      </c>
      <c r="K1249" s="118"/>
      <c r="L1249" s="119"/>
      <c r="M1249" s="110">
        <f>IF(L1249="",I1249,(MIN(J1249,(L1249*1.6*J1249))))</f>
        <v>361</v>
      </c>
      <c r="N1249" s="111">
        <f>IF(M1249=0,0,(M1249/J1249))</f>
        <v>0.63556338028169013</v>
      </c>
    </row>
    <row r="1250" spans="2:14">
      <c r="B1250" s="73">
        <v>127639</v>
      </c>
      <c r="C1250" s="23" t="s">
        <v>1998</v>
      </c>
      <c r="D1250" s="123">
        <f>SUMIF(B$3:B$3844,B1250,M$3:M$3844)/(SUMIF(B$3:B$3844,B1250,J$3:J$3844))</f>
        <v>0.60865087538619977</v>
      </c>
      <c r="E1250" s="23">
        <v>35463</v>
      </c>
      <c r="F1250" s="46" t="s">
        <v>2001</v>
      </c>
      <c r="G1250" s="23"/>
      <c r="H1250" s="23"/>
      <c r="I1250" s="41">
        <v>266</v>
      </c>
      <c r="J1250" s="41">
        <v>540</v>
      </c>
      <c r="K1250" s="118"/>
      <c r="L1250" s="119"/>
      <c r="M1250" s="110">
        <f>IF(L1250="",I1250,(MIN(J1250,(L1250*1.6*J1250))))</f>
        <v>266</v>
      </c>
      <c r="N1250" s="111">
        <f>IF(M1250=0,0,(M1250/J1250))</f>
        <v>0.49259259259259258</v>
      </c>
    </row>
    <row r="1251" spans="2:14">
      <c r="B1251" s="72">
        <v>127639</v>
      </c>
      <c r="C1251" s="47" t="s">
        <v>1998</v>
      </c>
      <c r="D1251" s="123">
        <f>SUMIF(B$3:B$3844,B1251,M$3:M$3844)/(SUMIF(B$3:B$3844,B1251,J$3:J$3844))</f>
        <v>0.60865087538619977</v>
      </c>
      <c r="E1251" s="47">
        <v>35478</v>
      </c>
      <c r="F1251" s="48" t="s">
        <v>2002</v>
      </c>
      <c r="G1251" s="47"/>
      <c r="H1251" s="47"/>
      <c r="I1251" s="40">
        <v>326</v>
      </c>
      <c r="J1251" s="40">
        <v>469</v>
      </c>
      <c r="K1251" s="118"/>
      <c r="L1251" s="119"/>
      <c r="M1251" s="110">
        <f>IF(L1251="",I1251,(MIN(J1251,(L1251*1.6*J1251))))</f>
        <v>326</v>
      </c>
      <c r="N1251" s="111">
        <f>IF(M1251=0,0,(M1251/J1251))</f>
        <v>0.69509594882729209</v>
      </c>
    </row>
    <row r="1252" spans="2:14">
      <c r="B1252" s="73">
        <v>127639</v>
      </c>
      <c r="C1252" s="23" t="s">
        <v>1998</v>
      </c>
      <c r="D1252" s="123">
        <f>SUMIF(B$3:B$3844,B1252,M$3:M$3844)/(SUMIF(B$3:B$3844,B1252,J$3:J$3844))</f>
        <v>0.60865087538619977</v>
      </c>
      <c r="E1252" s="23">
        <v>35479</v>
      </c>
      <c r="F1252" s="46" t="s">
        <v>2003</v>
      </c>
      <c r="G1252" s="23"/>
      <c r="H1252" s="23"/>
      <c r="I1252" s="41">
        <v>229</v>
      </c>
      <c r="J1252" s="41">
        <v>365</v>
      </c>
      <c r="K1252" s="118"/>
      <c r="L1252" s="119"/>
      <c r="M1252" s="110">
        <f>IF(L1252="",I1252,(MIN(J1252,(L1252*1.6*J1252))))</f>
        <v>229</v>
      </c>
      <c r="N1252" s="111">
        <f>IF(M1252=0,0,(M1252/J1252))</f>
        <v>0.62739726027397258</v>
      </c>
    </row>
    <row r="1253" spans="2:14">
      <c r="B1253" s="73">
        <v>127552</v>
      </c>
      <c r="C1253" s="23" t="s">
        <v>2004</v>
      </c>
      <c r="D1253" s="123">
        <f>SUMIF(B$3:B$3844,B1253,M$3:M$3844)/(SUMIF(B$3:B$3844,B1253,J$3:J$3844))</f>
        <v>1</v>
      </c>
      <c r="E1253" s="23">
        <v>34780</v>
      </c>
      <c r="F1253" s="46" t="s">
        <v>2005</v>
      </c>
      <c r="G1253" s="23"/>
      <c r="H1253" s="23"/>
      <c r="I1253" s="41"/>
      <c r="J1253" s="41">
        <v>405</v>
      </c>
      <c r="K1253" s="20">
        <v>2014</v>
      </c>
      <c r="L1253" s="21">
        <v>0.84799999999999998</v>
      </c>
      <c r="M1253" s="110">
        <f>IF(L1253="",I1253,(MIN(J1253,(L1253*1.6*J1253))))</f>
        <v>405</v>
      </c>
      <c r="N1253" s="111">
        <f>IF(M1253=0,0,(M1253/J1253))</f>
        <v>1</v>
      </c>
    </row>
    <row r="1254" spans="2:14">
      <c r="B1254" s="72">
        <v>127552</v>
      </c>
      <c r="C1254" s="47" t="s">
        <v>2004</v>
      </c>
      <c r="D1254" s="123">
        <f>SUMIF(B$3:B$3844,B1254,M$3:M$3844)/(SUMIF(B$3:B$3844,B1254,J$3:J$3844))</f>
        <v>1</v>
      </c>
      <c r="E1254" s="47">
        <v>34779</v>
      </c>
      <c r="F1254" s="48" t="s">
        <v>2006</v>
      </c>
      <c r="G1254" s="47"/>
      <c r="H1254" s="47"/>
      <c r="I1254" s="40"/>
      <c r="J1254" s="40">
        <v>11</v>
      </c>
      <c r="K1254" s="20">
        <v>2014</v>
      </c>
      <c r="L1254" s="21">
        <v>0.84799999999999998</v>
      </c>
      <c r="M1254" s="110">
        <f>IF(L1254="",I1254,(MIN(J1254,(L1254*1.6*J1254))))</f>
        <v>11</v>
      </c>
      <c r="N1254" s="111">
        <f>IF(M1254=0,0,(M1254/J1254))</f>
        <v>1</v>
      </c>
    </row>
    <row r="1255" spans="2:14">
      <c r="B1255" s="73">
        <v>127552</v>
      </c>
      <c r="C1255" s="23" t="s">
        <v>2004</v>
      </c>
      <c r="D1255" s="123">
        <f>SUMIF(B$3:B$3844,B1255,M$3:M$3844)/(SUMIF(B$3:B$3844,B1255,J$3:J$3844))</f>
        <v>1</v>
      </c>
      <c r="E1255" s="23">
        <v>34781</v>
      </c>
      <c r="F1255" s="46" t="s">
        <v>2007</v>
      </c>
      <c r="G1255" s="23"/>
      <c r="H1255" s="23"/>
      <c r="I1255" s="41"/>
      <c r="J1255" s="41">
        <v>679</v>
      </c>
      <c r="K1255" s="20">
        <v>2014</v>
      </c>
      <c r="L1255" s="21">
        <v>0.84799999999999998</v>
      </c>
      <c r="M1255" s="110">
        <f>IF(L1255="",I1255,(MIN(J1255,(L1255*1.6*J1255))))</f>
        <v>679</v>
      </c>
      <c r="N1255" s="111">
        <f>IF(M1255=0,0,(M1255/J1255))</f>
        <v>1</v>
      </c>
    </row>
    <row r="1256" spans="2:14">
      <c r="B1256" s="72">
        <v>127552</v>
      </c>
      <c r="C1256" s="47" t="s">
        <v>2004</v>
      </c>
      <c r="D1256" s="123">
        <f>SUMIF(B$3:B$3844,B1256,M$3:M$3844)/(SUMIF(B$3:B$3844,B1256,J$3:J$3844))</f>
        <v>1</v>
      </c>
      <c r="E1256" s="47">
        <v>16059720</v>
      </c>
      <c r="F1256" s="48" t="s">
        <v>2008</v>
      </c>
      <c r="G1256" s="47"/>
      <c r="H1256" s="47"/>
      <c r="I1256" s="40"/>
      <c r="J1256" s="40">
        <v>0</v>
      </c>
      <c r="K1256" s="20"/>
      <c r="L1256" s="21"/>
      <c r="M1256" s="110">
        <f>IF(L1256="",I1256,(MIN(J1256,(L1256*1.6*J1256))))</f>
        <v>0</v>
      </c>
      <c r="N1256" s="111">
        <f>IF(M1256=0,0,(M1256/J1256))</f>
        <v>0</v>
      </c>
    </row>
    <row r="1257" spans="2:14">
      <c r="B1257" s="73">
        <v>127552</v>
      </c>
      <c r="C1257" s="23" t="s">
        <v>2004</v>
      </c>
      <c r="D1257" s="123">
        <f>SUMIF(B$3:B$3844,B1257,M$3:M$3844)/(SUMIF(B$3:B$3844,B1257,J$3:J$3844))</f>
        <v>1</v>
      </c>
      <c r="E1257" s="23">
        <v>34782</v>
      </c>
      <c r="F1257" s="46" t="s">
        <v>2009</v>
      </c>
      <c r="G1257" s="23"/>
      <c r="H1257" s="23"/>
      <c r="I1257" s="41"/>
      <c r="J1257" s="41">
        <v>494</v>
      </c>
      <c r="K1257" s="20">
        <v>2014</v>
      </c>
      <c r="L1257" s="21">
        <v>0.84799999999999998</v>
      </c>
      <c r="M1257" s="110">
        <f>IF(L1257="",I1257,(MIN(J1257,(L1257*1.6*J1257))))</f>
        <v>494</v>
      </c>
      <c r="N1257" s="111">
        <f>IF(M1257=0,0,(M1257/J1257))</f>
        <v>1</v>
      </c>
    </row>
    <row r="1258" spans="2:14">
      <c r="B1258" s="72">
        <v>127552</v>
      </c>
      <c r="C1258" s="47" t="s">
        <v>2004</v>
      </c>
      <c r="D1258" s="123">
        <f>SUMIF(B$3:B$3844,B1258,M$3:M$3844)/(SUMIF(B$3:B$3844,B1258,J$3:J$3844))</f>
        <v>1</v>
      </c>
      <c r="E1258" s="47">
        <v>34884</v>
      </c>
      <c r="F1258" s="48" t="s">
        <v>2010</v>
      </c>
      <c r="G1258" s="47"/>
      <c r="H1258" s="47"/>
      <c r="I1258" s="40"/>
      <c r="J1258" s="40">
        <v>145</v>
      </c>
      <c r="K1258" s="20">
        <v>2014</v>
      </c>
      <c r="L1258" s="21">
        <v>0.84799999999999998</v>
      </c>
      <c r="M1258" s="110">
        <f>IF(L1258="",I1258,(MIN(J1258,(L1258*1.6*J1258))))</f>
        <v>145</v>
      </c>
      <c r="N1258" s="111">
        <f>IF(M1258=0,0,(M1258/J1258))</f>
        <v>1</v>
      </c>
    </row>
    <row r="1259" spans="2:14">
      <c r="B1259" s="73">
        <v>127827</v>
      </c>
      <c r="C1259" s="23" t="s">
        <v>2011</v>
      </c>
      <c r="D1259" s="123">
        <f>SUMIF(B$3:B$3844,B1259,M$3:M$3844)/(SUMIF(B$3:B$3844,B1259,J$3:J$3844))</f>
        <v>1</v>
      </c>
      <c r="E1259" s="23">
        <v>38169</v>
      </c>
      <c r="F1259" s="46" t="s">
        <v>2012</v>
      </c>
      <c r="G1259" s="23"/>
      <c r="H1259" s="23"/>
      <c r="I1259" s="41"/>
      <c r="J1259" s="41">
        <v>0</v>
      </c>
      <c r="K1259" s="20"/>
      <c r="L1259" s="21"/>
      <c r="M1259" s="110">
        <f>IF(L1259="",I1259,(MIN(J1259,(L1259*1.6*J1259))))</f>
        <v>0</v>
      </c>
      <c r="N1259" s="111">
        <f>IF(M1259=0,0,(M1259/J1259))</f>
        <v>0</v>
      </c>
    </row>
    <row r="1260" spans="2:14">
      <c r="B1260" s="72">
        <v>127827</v>
      </c>
      <c r="C1260" s="47" t="s">
        <v>2011</v>
      </c>
      <c r="D1260" s="123">
        <f>SUMIF(B$3:B$3844,B1260,M$3:M$3844)/(SUMIF(B$3:B$3844,B1260,J$3:J$3844))</f>
        <v>1</v>
      </c>
      <c r="E1260" s="47">
        <v>38112</v>
      </c>
      <c r="F1260" s="48" t="s">
        <v>2013</v>
      </c>
      <c r="G1260" s="47"/>
      <c r="H1260" s="47"/>
      <c r="I1260" s="40"/>
      <c r="J1260" s="40">
        <v>413</v>
      </c>
      <c r="K1260" s="20">
        <v>2014</v>
      </c>
      <c r="L1260" s="21">
        <v>0.69499999999999995</v>
      </c>
      <c r="M1260" s="110">
        <f>IF(L1260="",I1260,(MIN(J1260,(L1260*1.6*J1260))))</f>
        <v>413</v>
      </c>
      <c r="N1260" s="111">
        <f>IF(M1260=0,0,(M1260/J1260))</f>
        <v>1</v>
      </c>
    </row>
    <row r="1261" spans="2:14">
      <c r="B1261" s="73">
        <v>127827</v>
      </c>
      <c r="C1261" s="23" t="s">
        <v>2011</v>
      </c>
      <c r="D1261" s="123">
        <f>SUMIF(B$3:B$3844,B1261,M$3:M$3844)/(SUMIF(B$3:B$3844,B1261,J$3:J$3844))</f>
        <v>1</v>
      </c>
      <c r="E1261" s="23">
        <v>16033727</v>
      </c>
      <c r="F1261" s="46" t="s">
        <v>2014</v>
      </c>
      <c r="G1261" s="23"/>
      <c r="H1261" s="23"/>
      <c r="I1261" s="41"/>
      <c r="J1261" s="41">
        <v>1185</v>
      </c>
      <c r="K1261" s="20">
        <v>2014</v>
      </c>
      <c r="L1261" s="21">
        <v>0.69499999999999995</v>
      </c>
      <c r="M1261" s="110">
        <f>IF(L1261="",I1261,(MIN(J1261,(L1261*1.6*J1261))))</f>
        <v>1185</v>
      </c>
      <c r="N1261" s="111">
        <f>IF(M1261=0,0,(M1261/J1261))</f>
        <v>1</v>
      </c>
    </row>
    <row r="1262" spans="2:14">
      <c r="B1262" s="72">
        <v>127827</v>
      </c>
      <c r="C1262" s="47" t="s">
        <v>2011</v>
      </c>
      <c r="D1262" s="123">
        <f>SUMIF(B$3:B$3844,B1262,M$3:M$3844)/(SUMIF(B$3:B$3844,B1262,J$3:J$3844))</f>
        <v>1</v>
      </c>
      <c r="E1262" s="47">
        <v>38174</v>
      </c>
      <c r="F1262" s="48" t="s">
        <v>2015</v>
      </c>
      <c r="G1262" s="47"/>
      <c r="H1262" s="47"/>
      <c r="I1262" s="40"/>
      <c r="J1262" s="40">
        <v>1398</v>
      </c>
      <c r="K1262" s="20">
        <v>2014</v>
      </c>
      <c r="L1262" s="21">
        <v>0.69499999999999995</v>
      </c>
      <c r="M1262" s="110">
        <f>IF(L1262="",I1262,(MIN(J1262,(L1262*1.6*J1262))))</f>
        <v>1398</v>
      </c>
      <c r="N1262" s="111">
        <f>IF(M1262=0,0,(M1262/J1262))</f>
        <v>1</v>
      </c>
    </row>
    <row r="1263" spans="2:14">
      <c r="B1263" s="73">
        <v>127827</v>
      </c>
      <c r="C1263" s="23" t="s">
        <v>2011</v>
      </c>
      <c r="D1263" s="123">
        <f>SUMIF(B$3:B$3844,B1263,M$3:M$3844)/(SUMIF(B$3:B$3844,B1263,J$3:J$3844))</f>
        <v>1</v>
      </c>
      <c r="E1263" s="23">
        <v>16036612</v>
      </c>
      <c r="F1263" s="46" t="s">
        <v>2016</v>
      </c>
      <c r="G1263" s="23"/>
      <c r="H1263" s="23"/>
      <c r="I1263" s="41"/>
      <c r="J1263" s="41">
        <v>394</v>
      </c>
      <c r="K1263" s="20">
        <v>2014</v>
      </c>
      <c r="L1263" s="21">
        <v>0.69499999999999995</v>
      </c>
      <c r="M1263" s="110">
        <f>IF(L1263="",I1263,(MIN(J1263,(L1263*1.6*J1263))))</f>
        <v>394</v>
      </c>
      <c r="N1263" s="111">
        <f>IF(M1263=0,0,(M1263/J1263))</f>
        <v>1</v>
      </c>
    </row>
    <row r="1264" spans="2:14">
      <c r="B1264" s="72">
        <v>127827</v>
      </c>
      <c r="C1264" s="47" t="s">
        <v>2011</v>
      </c>
      <c r="D1264" s="123">
        <f>SUMIF(B$3:B$3844,B1264,M$3:M$3844)/(SUMIF(B$3:B$3844,B1264,J$3:J$3844))</f>
        <v>1</v>
      </c>
      <c r="E1264" s="47">
        <v>38173</v>
      </c>
      <c r="F1264" s="48" t="s">
        <v>2017</v>
      </c>
      <c r="G1264" s="47"/>
      <c r="H1264" s="47"/>
      <c r="I1264" s="40"/>
      <c r="J1264" s="40">
        <v>537</v>
      </c>
      <c r="K1264" s="20">
        <v>2014</v>
      </c>
      <c r="L1264" s="21">
        <v>0.69499999999999995</v>
      </c>
      <c r="M1264" s="110">
        <f>IF(L1264="",I1264,(MIN(J1264,(L1264*1.6*J1264))))</f>
        <v>537</v>
      </c>
      <c r="N1264" s="111">
        <f>IF(M1264=0,0,(M1264/J1264))</f>
        <v>1</v>
      </c>
    </row>
    <row r="1265" spans="2:14">
      <c r="B1265" s="73">
        <v>127827</v>
      </c>
      <c r="C1265" s="23" t="s">
        <v>2011</v>
      </c>
      <c r="D1265" s="123">
        <f>SUMIF(B$3:B$3844,B1265,M$3:M$3844)/(SUMIF(B$3:B$3844,B1265,J$3:J$3844))</f>
        <v>1</v>
      </c>
      <c r="E1265" s="23">
        <v>38197</v>
      </c>
      <c r="F1265" s="46" t="s">
        <v>2018</v>
      </c>
      <c r="G1265" s="23"/>
      <c r="H1265" s="23"/>
      <c r="I1265" s="41"/>
      <c r="J1265" s="41">
        <v>13</v>
      </c>
      <c r="K1265" s="20">
        <v>2014</v>
      </c>
      <c r="L1265" s="21">
        <v>0.69499999999999995</v>
      </c>
      <c r="M1265" s="110">
        <f>IF(L1265="",I1265,(MIN(J1265,(L1265*1.6*J1265))))</f>
        <v>13</v>
      </c>
      <c r="N1265" s="111">
        <f>IF(M1265=0,0,(M1265/J1265))</f>
        <v>1</v>
      </c>
    </row>
    <row r="1266" spans="2:14">
      <c r="B1266" s="72">
        <v>127827</v>
      </c>
      <c r="C1266" s="47" t="s">
        <v>2011</v>
      </c>
      <c r="D1266" s="123">
        <f>SUMIF(B$3:B$3844,B1266,M$3:M$3844)/(SUMIF(B$3:B$3844,B1266,J$3:J$3844))</f>
        <v>1</v>
      </c>
      <c r="E1266" s="47">
        <v>38172</v>
      </c>
      <c r="F1266" s="48" t="s">
        <v>2019</v>
      </c>
      <c r="G1266" s="47"/>
      <c r="H1266" s="47"/>
      <c r="I1266" s="40"/>
      <c r="J1266" s="40">
        <v>721</v>
      </c>
      <c r="K1266" s="20">
        <v>2014</v>
      </c>
      <c r="L1266" s="21">
        <v>0.69499999999999995</v>
      </c>
      <c r="M1266" s="110">
        <f>IF(L1266="",I1266,(MIN(J1266,(L1266*1.6*J1266))))</f>
        <v>721</v>
      </c>
      <c r="N1266" s="111">
        <f>IF(M1266=0,0,(M1266/J1266))</f>
        <v>1</v>
      </c>
    </row>
    <row r="1267" spans="2:14">
      <c r="B1267" s="73">
        <v>127827</v>
      </c>
      <c r="C1267" s="23" t="s">
        <v>2011</v>
      </c>
      <c r="D1267" s="123">
        <f>SUMIF(B$3:B$3844,B1267,M$3:M$3844)/(SUMIF(B$3:B$3844,B1267,J$3:J$3844))</f>
        <v>1</v>
      </c>
      <c r="E1267" s="23">
        <v>38198</v>
      </c>
      <c r="F1267" s="46" t="s">
        <v>2020</v>
      </c>
      <c r="G1267" s="23"/>
      <c r="H1267" s="23"/>
      <c r="I1267" s="41"/>
      <c r="J1267" s="41">
        <v>561</v>
      </c>
      <c r="K1267" s="20">
        <v>2014</v>
      </c>
      <c r="L1267" s="21">
        <v>0.69499999999999995</v>
      </c>
      <c r="M1267" s="110">
        <f>IF(L1267="",I1267,(MIN(J1267,(L1267*1.6*J1267))))</f>
        <v>561</v>
      </c>
      <c r="N1267" s="111">
        <f>IF(M1267=0,0,(M1267/J1267))</f>
        <v>1</v>
      </c>
    </row>
    <row r="1268" spans="2:14">
      <c r="B1268" s="73">
        <v>127841</v>
      </c>
      <c r="C1268" s="23" t="s">
        <v>2021</v>
      </c>
      <c r="D1268" s="123">
        <f>SUMIF(B$3:B$3844,B1268,M$3:M$3844)/(SUMIF(B$3:B$3844,B1268,J$3:J$3844))</f>
        <v>0.85454716008316001</v>
      </c>
      <c r="E1268" s="23">
        <v>37412</v>
      </c>
      <c r="F1268" s="46" t="s">
        <v>1505</v>
      </c>
      <c r="G1268" s="23"/>
      <c r="H1268" s="23"/>
      <c r="I1268" s="41"/>
      <c r="J1268" s="41">
        <v>625</v>
      </c>
      <c r="K1268" s="20">
        <v>2015</v>
      </c>
      <c r="L1268" s="21">
        <v>0.58279999999999998</v>
      </c>
      <c r="M1268" s="110">
        <f>IF(L1268="",I1268,(MIN(J1268,(L1268*1.6*J1268))))</f>
        <v>582.79999999999995</v>
      </c>
      <c r="N1268" s="111">
        <f>IF(M1268=0,0,(M1268/J1268))</f>
        <v>0.93247999999999998</v>
      </c>
    </row>
    <row r="1269" spans="2:14">
      <c r="B1269" s="72">
        <v>127841</v>
      </c>
      <c r="C1269" s="47" t="s">
        <v>2021</v>
      </c>
      <c r="D1269" s="123">
        <f>SUMIF(B$3:B$3844,B1269,M$3:M$3844)/(SUMIF(B$3:B$3844,B1269,J$3:J$3844))</f>
        <v>0.85454716008316001</v>
      </c>
      <c r="E1269" s="47">
        <v>37408</v>
      </c>
      <c r="F1269" s="48" t="s">
        <v>2022</v>
      </c>
      <c r="G1269" s="47"/>
      <c r="H1269" s="47"/>
      <c r="I1269" s="40"/>
      <c r="J1269" s="40">
        <v>0</v>
      </c>
      <c r="K1269" s="20"/>
      <c r="L1269" s="21"/>
      <c r="M1269" s="110">
        <f>IF(L1269="",I1269,(MIN(J1269,(L1269*1.6*J1269))))</f>
        <v>0</v>
      </c>
      <c r="N1269" s="111">
        <f>IF(M1269=0,0,(M1269/J1269))</f>
        <v>0</v>
      </c>
    </row>
    <row r="1270" spans="2:14">
      <c r="B1270" s="73">
        <v>127841</v>
      </c>
      <c r="C1270" s="23" t="s">
        <v>2021</v>
      </c>
      <c r="D1270" s="123">
        <f>SUMIF(B$3:B$3844,B1270,M$3:M$3844)/(SUMIF(B$3:B$3844,B1270,J$3:J$3844))</f>
        <v>0.85454716008316001</v>
      </c>
      <c r="E1270" s="23">
        <v>37409</v>
      </c>
      <c r="F1270" s="46" t="s">
        <v>2023</v>
      </c>
      <c r="G1270" s="23"/>
      <c r="H1270" s="23"/>
      <c r="I1270" s="41"/>
      <c r="J1270" s="41">
        <v>935</v>
      </c>
      <c r="K1270" s="20">
        <v>2015</v>
      </c>
      <c r="L1270" s="21">
        <v>0.58279999999999998</v>
      </c>
      <c r="M1270" s="110">
        <f>IF(L1270="",I1270,(MIN(J1270,(L1270*1.6*J1270))))</f>
        <v>871.86879999999996</v>
      </c>
      <c r="N1270" s="111">
        <f>IF(M1270=0,0,(M1270/J1270))</f>
        <v>0.93247999999999998</v>
      </c>
    </row>
    <row r="1271" spans="2:14">
      <c r="B1271" s="72">
        <v>127841</v>
      </c>
      <c r="C1271" s="47" t="s">
        <v>2021</v>
      </c>
      <c r="D1271" s="123">
        <f>SUMIF(B$3:B$3844,B1271,M$3:M$3844)/(SUMIF(B$3:B$3844,B1271,J$3:J$3844))</f>
        <v>0.85454716008316001</v>
      </c>
      <c r="E1271" s="47">
        <v>37407</v>
      </c>
      <c r="F1271" s="48" t="s">
        <v>2024</v>
      </c>
      <c r="G1271" s="47"/>
      <c r="H1271" s="47"/>
      <c r="I1271" s="40"/>
      <c r="J1271" s="40">
        <v>706</v>
      </c>
      <c r="K1271" s="20">
        <v>2015</v>
      </c>
      <c r="L1271" s="21">
        <v>0.58279999999999998</v>
      </c>
      <c r="M1271" s="110">
        <f>IF(L1271="",I1271,(MIN(J1271,(L1271*1.6*J1271))))</f>
        <v>658.33087999999998</v>
      </c>
      <c r="N1271" s="111">
        <f>IF(M1271=0,0,(M1271/J1271))</f>
        <v>0.93247999999999998</v>
      </c>
    </row>
    <row r="1272" spans="2:14">
      <c r="B1272" s="73">
        <v>127841</v>
      </c>
      <c r="C1272" s="23" t="s">
        <v>2021</v>
      </c>
      <c r="D1272" s="123">
        <f>SUMIF(B$3:B$3844,B1272,M$3:M$3844)/(SUMIF(B$3:B$3844,B1272,J$3:J$3844))</f>
        <v>0.85454716008316001</v>
      </c>
      <c r="E1272" s="23">
        <v>37413</v>
      </c>
      <c r="F1272" s="46" t="s">
        <v>2025</v>
      </c>
      <c r="G1272" s="23"/>
      <c r="H1272" s="23"/>
      <c r="I1272" s="41"/>
      <c r="J1272" s="41">
        <v>13</v>
      </c>
      <c r="K1272" s="20">
        <v>2015</v>
      </c>
      <c r="L1272" s="21">
        <v>0.58279999999999998</v>
      </c>
      <c r="M1272" s="110">
        <f>IF(L1272="",I1272,(MIN(J1272,(L1272*1.6*J1272))))</f>
        <v>12.12224</v>
      </c>
      <c r="N1272" s="111">
        <f>IF(M1272=0,0,(M1272/J1272))</f>
        <v>0.93247999999999998</v>
      </c>
    </row>
    <row r="1273" spans="2:14">
      <c r="B1273" s="72">
        <v>127841</v>
      </c>
      <c r="C1273" s="47" t="s">
        <v>2021</v>
      </c>
      <c r="D1273" s="123">
        <f>SUMIF(B$3:B$3844,B1273,M$3:M$3844)/(SUMIF(B$3:B$3844,B1273,J$3:J$3844))</f>
        <v>0.85454716008316001</v>
      </c>
      <c r="E1273" s="47">
        <v>38287</v>
      </c>
      <c r="F1273" s="48" t="s">
        <v>2026</v>
      </c>
      <c r="G1273" s="47"/>
      <c r="H1273" s="47"/>
      <c r="I1273" s="40"/>
      <c r="J1273" s="40">
        <v>783</v>
      </c>
      <c r="K1273" s="20">
        <v>2015</v>
      </c>
      <c r="L1273" s="21">
        <v>0.58279999999999998</v>
      </c>
      <c r="M1273" s="110">
        <f>IF(L1273="",I1273,(MIN(J1273,(L1273*1.6*J1273))))</f>
        <v>730.13184000000001</v>
      </c>
      <c r="N1273" s="111">
        <f>IF(M1273=0,0,(M1273/J1273))</f>
        <v>0.93247999999999998</v>
      </c>
    </row>
    <row r="1274" spans="2:14">
      <c r="B1274" s="73">
        <v>127841</v>
      </c>
      <c r="C1274" s="23" t="s">
        <v>2021</v>
      </c>
      <c r="D1274" s="123">
        <f>SUMIF(B$3:B$3844,B1274,M$3:M$3844)/(SUMIF(B$3:B$3844,B1274,J$3:J$3844))</f>
        <v>0.85454716008316001</v>
      </c>
      <c r="E1274" s="23">
        <v>171787</v>
      </c>
      <c r="F1274" s="46" t="s">
        <v>2027</v>
      </c>
      <c r="G1274" s="23"/>
      <c r="H1274" s="23"/>
      <c r="I1274" s="41"/>
      <c r="J1274" s="41">
        <v>25</v>
      </c>
      <c r="K1274" s="20"/>
      <c r="L1274" s="21"/>
      <c r="M1274" s="110">
        <f>IF(L1274="",I1274,(MIN(J1274,(L1274*1.6*J1274))))</f>
        <v>0</v>
      </c>
      <c r="N1274" s="111">
        <f>IF(M1274=0,0,(M1274/J1274))</f>
        <v>0</v>
      </c>
    </row>
    <row r="1275" spans="2:14">
      <c r="B1275" s="72">
        <v>127841</v>
      </c>
      <c r="C1275" s="47" t="s">
        <v>2021</v>
      </c>
      <c r="D1275" s="123">
        <f>SUMIF(B$3:B$3844,B1275,M$3:M$3844)/(SUMIF(B$3:B$3844,B1275,J$3:J$3844))</f>
        <v>0.85454716008316001</v>
      </c>
      <c r="E1275" s="47">
        <v>37410</v>
      </c>
      <c r="F1275" s="48" t="s">
        <v>1281</v>
      </c>
      <c r="G1275" s="47"/>
      <c r="H1275" s="47"/>
      <c r="I1275" s="40"/>
      <c r="J1275" s="40">
        <v>578</v>
      </c>
      <c r="K1275" s="20"/>
      <c r="L1275" s="21"/>
      <c r="M1275" s="110">
        <f>IF(L1275="",I1275,(MIN(J1275,(L1275*1.6*J1275))))</f>
        <v>0</v>
      </c>
      <c r="N1275" s="111">
        <f>IF(M1275=0,0,(M1275/J1275))</f>
        <v>0</v>
      </c>
    </row>
    <row r="1276" spans="2:14">
      <c r="B1276" s="73">
        <v>127841</v>
      </c>
      <c r="C1276" s="23" t="s">
        <v>2021</v>
      </c>
      <c r="D1276" s="123">
        <f>SUMIF(B$3:B$3844,B1276,M$3:M$3844)/(SUMIF(B$3:B$3844,B1276,J$3:J$3844))</f>
        <v>0.85454716008316001</v>
      </c>
      <c r="E1276" s="23">
        <v>234407</v>
      </c>
      <c r="F1276" s="46" t="s">
        <v>2028</v>
      </c>
      <c r="G1276" s="23"/>
      <c r="H1276" s="23"/>
      <c r="I1276" s="41"/>
      <c r="J1276" s="41">
        <v>492</v>
      </c>
      <c r="K1276" s="20">
        <v>2015</v>
      </c>
      <c r="L1276" s="21">
        <v>0.58279999999999998</v>
      </c>
      <c r="M1276" s="110">
        <f>IF(L1276="",I1276,(MIN(J1276,(L1276*1.6*J1276))))</f>
        <v>458.78015999999997</v>
      </c>
      <c r="N1276" s="111">
        <f>IF(M1276=0,0,(M1276/J1276))</f>
        <v>0.93247999999999998</v>
      </c>
    </row>
    <row r="1277" spans="2:14">
      <c r="B1277" s="72">
        <v>127841</v>
      </c>
      <c r="C1277" s="47" t="s">
        <v>2021</v>
      </c>
      <c r="D1277" s="123">
        <f>SUMIF(B$3:B$3844,B1277,M$3:M$3844)/(SUMIF(B$3:B$3844,B1277,J$3:J$3844))</f>
        <v>0.85454716008316001</v>
      </c>
      <c r="E1277" s="47">
        <v>38321</v>
      </c>
      <c r="F1277" s="48" t="s">
        <v>2029</v>
      </c>
      <c r="G1277" s="47"/>
      <c r="H1277" s="47"/>
      <c r="I1277" s="40"/>
      <c r="J1277" s="40">
        <v>0</v>
      </c>
      <c r="K1277" s="20"/>
      <c r="L1277" s="21"/>
      <c r="M1277" s="110">
        <f>IF(L1277="",I1277,(MIN(J1277,(L1277*1.6*J1277))))</f>
        <v>0</v>
      </c>
      <c r="N1277" s="111">
        <f>IF(M1277=0,0,(M1277/J1277))</f>
        <v>0</v>
      </c>
    </row>
    <row r="1278" spans="2:14">
      <c r="B1278" s="73">
        <v>127841</v>
      </c>
      <c r="C1278" s="23" t="s">
        <v>2021</v>
      </c>
      <c r="D1278" s="123">
        <f>SUMIF(B$3:B$3844,B1278,M$3:M$3844)/(SUMIF(B$3:B$3844,B1278,J$3:J$3844))</f>
        <v>0.85454716008316001</v>
      </c>
      <c r="E1278" s="23">
        <v>38286</v>
      </c>
      <c r="F1278" s="46" t="s">
        <v>2030</v>
      </c>
      <c r="G1278" s="23"/>
      <c r="H1278" s="23"/>
      <c r="I1278" s="41"/>
      <c r="J1278" s="41">
        <v>548</v>
      </c>
      <c r="K1278" s="20">
        <v>2015</v>
      </c>
      <c r="L1278" s="21">
        <v>0.58279999999999998</v>
      </c>
      <c r="M1278" s="110">
        <f>IF(L1278="",I1278,(MIN(J1278,(L1278*1.6*J1278))))</f>
        <v>510.99903999999998</v>
      </c>
      <c r="N1278" s="111">
        <f>IF(M1278=0,0,(M1278/J1278))</f>
        <v>0.93247999999999998</v>
      </c>
    </row>
    <row r="1279" spans="2:14">
      <c r="B1279" s="72">
        <v>127841</v>
      </c>
      <c r="C1279" s="47" t="s">
        <v>2021</v>
      </c>
      <c r="D1279" s="123">
        <f>SUMIF(B$3:B$3844,B1279,M$3:M$3844)/(SUMIF(B$3:B$3844,B1279,J$3:J$3844))</f>
        <v>0.85454716008316001</v>
      </c>
      <c r="E1279" s="47">
        <v>38288</v>
      </c>
      <c r="F1279" s="48" t="s">
        <v>2031</v>
      </c>
      <c r="G1279" s="47"/>
      <c r="H1279" s="47"/>
      <c r="I1279" s="40"/>
      <c r="J1279" s="40">
        <v>1115</v>
      </c>
      <c r="K1279" s="20">
        <v>2015</v>
      </c>
      <c r="L1279" s="21">
        <v>0.58279999999999998</v>
      </c>
      <c r="M1279" s="110">
        <f>IF(L1279="",I1279,(MIN(J1279,(L1279*1.6*J1279))))</f>
        <v>1039.7151999999999</v>
      </c>
      <c r="N1279" s="111">
        <f>IF(M1279=0,0,(M1279/J1279))</f>
        <v>0.93247999999999986</v>
      </c>
    </row>
    <row r="1280" spans="2:14">
      <c r="B1280" s="73">
        <v>127841</v>
      </c>
      <c r="C1280" s="23" t="s">
        <v>2021</v>
      </c>
      <c r="D1280" s="123">
        <f>SUMIF(B$3:B$3844,B1280,M$3:M$3844)/(SUMIF(B$3:B$3844,B1280,J$3:J$3844))</f>
        <v>0.85454716008316001</v>
      </c>
      <c r="E1280" s="23">
        <v>38320</v>
      </c>
      <c r="F1280" s="46" t="s">
        <v>2032</v>
      </c>
      <c r="G1280" s="23"/>
      <c r="H1280" s="23"/>
      <c r="I1280" s="41"/>
      <c r="J1280" s="41">
        <v>775</v>
      </c>
      <c r="K1280" s="20">
        <v>2015</v>
      </c>
      <c r="L1280" s="21">
        <v>0.58279999999999998</v>
      </c>
      <c r="M1280" s="110">
        <f>IF(L1280="",I1280,(MIN(J1280,(L1280*1.6*J1280))))</f>
        <v>722.67200000000003</v>
      </c>
      <c r="N1280" s="111">
        <f>IF(M1280=0,0,(M1280/J1280))</f>
        <v>0.93248000000000009</v>
      </c>
    </row>
    <row r="1281" spans="2:14">
      <c r="B1281" s="72">
        <v>127841</v>
      </c>
      <c r="C1281" s="47" t="s">
        <v>2021</v>
      </c>
      <c r="D1281" s="123">
        <f>SUMIF(B$3:B$3844,B1281,M$3:M$3844)/(SUMIF(B$3:B$3844,B1281,J$3:J$3844))</f>
        <v>0.85454716008316001</v>
      </c>
      <c r="E1281" s="47">
        <v>38285</v>
      </c>
      <c r="F1281" s="48" t="s">
        <v>2033</v>
      </c>
      <c r="G1281" s="47"/>
      <c r="H1281" s="47"/>
      <c r="I1281" s="40"/>
      <c r="J1281" s="40">
        <v>18</v>
      </c>
      <c r="K1281" s="20">
        <v>2015</v>
      </c>
      <c r="L1281" s="21">
        <v>0.58279999999999998</v>
      </c>
      <c r="M1281" s="110">
        <f>IF(L1281="",I1281,(MIN(J1281,(L1281*1.6*J1281))))</f>
        <v>16.78464</v>
      </c>
      <c r="N1281" s="111">
        <f>IF(M1281=0,0,(M1281/J1281))</f>
        <v>0.93247999999999998</v>
      </c>
    </row>
    <row r="1282" spans="2:14">
      <c r="B1282" s="73">
        <v>127841</v>
      </c>
      <c r="C1282" s="23" t="s">
        <v>2021</v>
      </c>
      <c r="D1282" s="123">
        <f>SUMIF(B$3:B$3844,B1282,M$3:M$3844)/(SUMIF(B$3:B$3844,B1282,J$3:J$3844))</f>
        <v>0.85454716008316001</v>
      </c>
      <c r="E1282" s="23">
        <v>37411</v>
      </c>
      <c r="F1282" s="46" t="s">
        <v>1586</v>
      </c>
      <c r="G1282" s="23"/>
      <c r="H1282" s="23"/>
      <c r="I1282" s="41"/>
      <c r="J1282" s="41">
        <v>602</v>
      </c>
      <c r="K1282" s="20">
        <v>2015</v>
      </c>
      <c r="L1282" s="21">
        <v>0.58279999999999998</v>
      </c>
      <c r="M1282" s="110">
        <f>IF(L1282="",I1282,(MIN(J1282,(L1282*1.6*J1282))))</f>
        <v>561.35295999999994</v>
      </c>
      <c r="N1282" s="111">
        <f>IF(M1282=0,0,(M1282/J1282))</f>
        <v>0.93247999999999986</v>
      </c>
    </row>
    <row r="1283" spans="2:14">
      <c r="B1283" s="72">
        <v>127871</v>
      </c>
      <c r="C1283" s="126" t="s">
        <v>1555</v>
      </c>
      <c r="D1283" s="123">
        <f>SUMIF(B$3:B$3844,B1283,M$3:M$3844)/(SUMIF(B$3:B$3844,B1283,J$3:J$3844))</f>
        <v>0.68063164679342569</v>
      </c>
      <c r="E1283" s="47">
        <v>38608</v>
      </c>
      <c r="F1283" s="48" t="s">
        <v>1556</v>
      </c>
      <c r="G1283" s="47"/>
      <c r="H1283" s="47"/>
      <c r="I1283" s="40">
        <v>548</v>
      </c>
      <c r="J1283" s="40">
        <v>714</v>
      </c>
      <c r="K1283" s="20"/>
      <c r="L1283" s="20"/>
      <c r="M1283" s="110">
        <f>IF(L1283="",I1283,(MIN(J1283,(L1283*1.6*J1283))))</f>
        <v>548</v>
      </c>
      <c r="N1283" s="111">
        <f>IF(M1283=0,0,(M1283/J1283))</f>
        <v>0.7675070028011205</v>
      </c>
    </row>
    <row r="1284" spans="2:14">
      <c r="B1284" s="72">
        <v>127871</v>
      </c>
      <c r="C1284" s="126" t="s">
        <v>1555</v>
      </c>
      <c r="D1284" s="123">
        <f>SUMIF(B$3:B$3844,B1284,M$3:M$3844)/(SUMIF(B$3:B$3844,B1284,J$3:J$3844))</f>
        <v>0.68063164679342569</v>
      </c>
      <c r="E1284" s="47">
        <v>38633</v>
      </c>
      <c r="F1284" s="48" t="s">
        <v>1557</v>
      </c>
      <c r="G1284" s="47"/>
      <c r="H1284" s="47"/>
      <c r="I1284" s="40">
        <v>733</v>
      </c>
      <c r="J1284" s="40">
        <v>1151</v>
      </c>
      <c r="K1284" s="20"/>
      <c r="L1284" s="20"/>
      <c r="M1284" s="110">
        <f>IF(L1284="",I1284,(MIN(J1284,(L1284*1.6*J1284))))</f>
        <v>733</v>
      </c>
      <c r="N1284" s="111">
        <f>IF(M1284=0,0,(M1284/J1284))</f>
        <v>0.63683753258036491</v>
      </c>
    </row>
    <row r="1285" spans="2:14">
      <c r="B1285" s="72">
        <v>127871</v>
      </c>
      <c r="C1285" s="126" t="s">
        <v>1555</v>
      </c>
      <c r="D1285" s="123">
        <f>SUMIF(B$3:B$3844,B1285,M$3:M$3844)/(SUMIF(B$3:B$3844,B1285,J$3:J$3844))</f>
        <v>0.68063164679342569</v>
      </c>
      <c r="E1285" s="47">
        <v>16082984</v>
      </c>
      <c r="F1285" s="48" t="s">
        <v>1558</v>
      </c>
      <c r="G1285" s="47"/>
      <c r="H1285" s="47"/>
      <c r="I1285" s="40"/>
      <c r="J1285" s="40">
        <v>0</v>
      </c>
      <c r="K1285" s="20"/>
      <c r="L1285" s="20"/>
      <c r="M1285" s="110">
        <f>IF(L1285="",I1285,(MIN(J1285,(L1285*1.6*J1285))))</f>
        <v>0</v>
      </c>
      <c r="N1285" s="111">
        <f>IF(M1285=0,0,(M1285/J1285))</f>
        <v>0</v>
      </c>
    </row>
    <row r="1286" spans="2:14">
      <c r="B1286" s="72">
        <v>127871</v>
      </c>
      <c r="C1286" s="126" t="s">
        <v>1555</v>
      </c>
      <c r="D1286" s="123">
        <f>SUMIF(B$3:B$3844,B1286,M$3:M$3844)/(SUMIF(B$3:B$3844,B1286,J$3:J$3844))</f>
        <v>0.68063164679342569</v>
      </c>
      <c r="E1286" s="47">
        <v>16020760</v>
      </c>
      <c r="F1286" s="48" t="s">
        <v>1559</v>
      </c>
      <c r="G1286" s="47"/>
      <c r="H1286" s="47"/>
      <c r="I1286" s="40">
        <v>625</v>
      </c>
      <c r="J1286" s="40">
        <v>1558</v>
      </c>
      <c r="K1286" s="20"/>
      <c r="L1286" s="20"/>
      <c r="M1286" s="110">
        <f>IF(L1286="",I1286,(MIN(J1286,(L1286*1.6*J1286))))</f>
        <v>625</v>
      </c>
      <c r="N1286" s="111">
        <f>IF(M1286=0,0,(M1286/J1286))</f>
        <v>0.40115532734274711</v>
      </c>
    </row>
    <row r="1287" spans="2:14">
      <c r="B1287" s="72">
        <v>127871</v>
      </c>
      <c r="C1287" s="126" t="s">
        <v>1555</v>
      </c>
      <c r="D1287" s="123">
        <f>SUMIF(B$3:B$3844,B1287,M$3:M$3844)/(SUMIF(B$3:B$3844,B1287,J$3:J$3844))</f>
        <v>0.68063164679342569</v>
      </c>
      <c r="E1287" s="47">
        <v>209878</v>
      </c>
      <c r="F1287" s="48" t="s">
        <v>1560</v>
      </c>
      <c r="G1287" s="47"/>
      <c r="H1287" s="47"/>
      <c r="I1287" s="40">
        <v>351</v>
      </c>
      <c r="J1287" s="40">
        <v>742</v>
      </c>
      <c r="K1287" s="20"/>
      <c r="L1287" s="20"/>
      <c r="M1287" s="110">
        <f>IF(L1287="",I1287,(MIN(J1287,(L1287*1.6*J1287))))</f>
        <v>351</v>
      </c>
      <c r="N1287" s="111">
        <f>IF(M1287=0,0,(M1287/J1287))</f>
        <v>0.47304582210242585</v>
      </c>
    </row>
    <row r="1288" spans="2:14">
      <c r="B1288" s="72">
        <v>127871</v>
      </c>
      <c r="C1288" s="126" t="s">
        <v>1555</v>
      </c>
      <c r="D1288" s="123">
        <f>SUMIF(B$3:B$3844,B1288,M$3:M$3844)/(SUMIF(B$3:B$3844,B1288,J$3:J$3844))</f>
        <v>0.68063164679342569</v>
      </c>
      <c r="E1288" s="47">
        <v>38615</v>
      </c>
      <c r="F1288" s="48" t="s">
        <v>1561</v>
      </c>
      <c r="G1288" s="47"/>
      <c r="H1288" s="47"/>
      <c r="I1288" s="40">
        <v>546</v>
      </c>
      <c r="J1288" s="40">
        <v>695</v>
      </c>
      <c r="K1288" s="20"/>
      <c r="L1288" s="20"/>
      <c r="M1288" s="110">
        <f>IF(L1288="",I1288,(MIN(J1288,(L1288*1.6*J1288))))</f>
        <v>546</v>
      </c>
      <c r="N1288" s="111">
        <f>IF(M1288=0,0,(M1288/J1288))</f>
        <v>0.78561151079136693</v>
      </c>
    </row>
    <row r="1289" spans="2:14">
      <c r="B1289" s="72">
        <v>127871</v>
      </c>
      <c r="C1289" s="126" t="s">
        <v>1555</v>
      </c>
      <c r="D1289" s="123">
        <f>SUMIF(B$3:B$3844,B1289,M$3:M$3844)/(SUMIF(B$3:B$3844,B1289,J$3:J$3844))</f>
        <v>0.68063164679342569</v>
      </c>
      <c r="E1289" s="47">
        <v>38620</v>
      </c>
      <c r="F1289" s="48" t="s">
        <v>1562</v>
      </c>
      <c r="G1289" s="47"/>
      <c r="H1289" s="47"/>
      <c r="I1289" s="40">
        <v>834</v>
      </c>
      <c r="J1289" s="40">
        <v>967</v>
      </c>
      <c r="K1289" s="20"/>
      <c r="L1289" s="20"/>
      <c r="M1289" s="110">
        <f>IF(L1289="",I1289,(MIN(J1289,(L1289*1.6*J1289))))</f>
        <v>834</v>
      </c>
      <c r="N1289" s="111">
        <f>IF(M1289=0,0,(M1289/J1289))</f>
        <v>0.86246122026887284</v>
      </c>
    </row>
    <row r="1290" spans="2:14">
      <c r="B1290" s="72">
        <v>127871</v>
      </c>
      <c r="C1290" s="126" t="s">
        <v>1555</v>
      </c>
      <c r="D1290" s="123">
        <f>SUMIF(B$3:B$3844,B1290,M$3:M$3844)/(SUMIF(B$3:B$3844,B1290,J$3:J$3844))</f>
        <v>0.68063164679342569</v>
      </c>
      <c r="E1290" s="47">
        <v>38617</v>
      </c>
      <c r="F1290" s="48" t="s">
        <v>1281</v>
      </c>
      <c r="G1290" s="47"/>
      <c r="H1290" s="47"/>
      <c r="I1290" s="40">
        <v>513</v>
      </c>
      <c r="J1290" s="40">
        <v>596</v>
      </c>
      <c r="K1290" s="20"/>
      <c r="L1290" s="20"/>
      <c r="M1290" s="110">
        <f>IF(L1290="",I1290,(MIN(J1290,(L1290*1.6*J1290))))</f>
        <v>513</v>
      </c>
      <c r="N1290" s="111">
        <f>IF(M1290=0,0,(M1290/J1290))</f>
        <v>0.86073825503355705</v>
      </c>
    </row>
    <row r="1291" spans="2:14">
      <c r="B1291" s="72">
        <v>127871</v>
      </c>
      <c r="C1291" s="126" t="s">
        <v>1555</v>
      </c>
      <c r="D1291" s="123">
        <f>SUMIF(B$3:B$3844,B1291,M$3:M$3844)/(SUMIF(B$3:B$3844,B1291,J$3:J$3844))</f>
        <v>0.68063164679342569</v>
      </c>
      <c r="E1291" s="47">
        <v>164579</v>
      </c>
      <c r="F1291" s="48" t="s">
        <v>1563</v>
      </c>
      <c r="G1291" s="47"/>
      <c r="H1291" s="47"/>
      <c r="I1291" s="40">
        <v>125</v>
      </c>
      <c r="J1291" s="40">
        <v>133</v>
      </c>
      <c r="K1291" s="20"/>
      <c r="L1291" s="20"/>
      <c r="M1291" s="110">
        <f>IF(L1291="",I1291,(MIN(J1291,(L1291*1.6*J1291))))</f>
        <v>125</v>
      </c>
      <c r="N1291" s="111">
        <f>IF(M1291=0,0,(M1291/J1291))</f>
        <v>0.93984962406015038</v>
      </c>
    </row>
    <row r="1292" spans="2:14">
      <c r="B1292" s="72">
        <v>127871</v>
      </c>
      <c r="C1292" s="126" t="s">
        <v>1555</v>
      </c>
      <c r="D1292" s="123">
        <f>SUMIF(B$3:B$3844,B1292,M$3:M$3844)/(SUMIF(B$3:B$3844,B1292,J$3:J$3844))</f>
        <v>0.68063164679342569</v>
      </c>
      <c r="E1292" s="47">
        <v>16034034</v>
      </c>
      <c r="F1292" s="48" t="s">
        <v>1564</v>
      </c>
      <c r="G1292" s="47"/>
      <c r="H1292" s="47"/>
      <c r="I1292" s="40">
        <v>1392</v>
      </c>
      <c r="J1292" s="40">
        <v>1703</v>
      </c>
      <c r="K1292" s="20"/>
      <c r="L1292" s="20"/>
      <c r="M1292" s="110">
        <f>IF(L1292="",I1292,(MIN(J1292,(L1292*1.6*J1292))))</f>
        <v>1392</v>
      </c>
      <c r="N1292" s="111">
        <f>IF(M1292=0,0,(M1292/J1292))</f>
        <v>0.81738109219025246</v>
      </c>
    </row>
    <row r="1293" spans="2:14">
      <c r="B1293" s="72">
        <v>127871</v>
      </c>
      <c r="C1293" s="126" t="s">
        <v>1555</v>
      </c>
      <c r="D1293" s="123">
        <f>SUMIF(B$3:B$3844,B1293,M$3:M$3844)/(SUMIF(B$3:B$3844,B1293,J$3:J$3844))</f>
        <v>0.68063164679342569</v>
      </c>
      <c r="E1293" s="47">
        <v>38619</v>
      </c>
      <c r="F1293" s="48" t="s">
        <v>1565</v>
      </c>
      <c r="G1293" s="47"/>
      <c r="H1293" s="47"/>
      <c r="I1293" s="40">
        <v>488</v>
      </c>
      <c r="J1293" s="40">
        <v>556</v>
      </c>
      <c r="K1293" s="20"/>
      <c r="L1293" s="20"/>
      <c r="M1293" s="110">
        <f>IF(L1293="",I1293,(MIN(J1293,(L1293*1.6*J1293))))</f>
        <v>488</v>
      </c>
      <c r="N1293" s="111">
        <f>IF(M1293=0,0,(M1293/J1293))</f>
        <v>0.87769784172661869</v>
      </c>
    </row>
    <row r="1294" spans="2:14">
      <c r="B1294" s="72">
        <v>127871</v>
      </c>
      <c r="C1294" s="126" t="s">
        <v>1555</v>
      </c>
      <c r="D1294" s="123">
        <f>SUMIF(B$3:B$3844,B1294,M$3:M$3844)/(SUMIF(B$3:B$3844,B1294,J$3:J$3844))</f>
        <v>0.68063164679342569</v>
      </c>
      <c r="E1294" s="47">
        <v>38627</v>
      </c>
      <c r="F1294" s="48" t="s">
        <v>1566</v>
      </c>
      <c r="G1294" s="47"/>
      <c r="H1294" s="47"/>
      <c r="I1294" s="40">
        <v>912</v>
      </c>
      <c r="J1294" s="40">
        <v>1637</v>
      </c>
      <c r="K1294" s="20"/>
      <c r="L1294" s="20"/>
      <c r="M1294" s="110">
        <f>IF(L1294="",I1294,(MIN(J1294,(L1294*1.6*J1294))))</f>
        <v>912</v>
      </c>
      <c r="N1294" s="111">
        <f>IF(M1294=0,0,(M1294/J1294))</f>
        <v>0.55711667684789246</v>
      </c>
    </row>
    <row r="1295" spans="2:14">
      <c r="B1295" s="72">
        <v>127871</v>
      </c>
      <c r="C1295" s="126" t="s">
        <v>1555</v>
      </c>
      <c r="D1295" s="123">
        <f>SUMIF(B$3:B$3844,B1295,M$3:M$3844)/(SUMIF(B$3:B$3844,B1295,J$3:J$3844))</f>
        <v>0.68063164679342569</v>
      </c>
      <c r="E1295" s="47">
        <v>16082919</v>
      </c>
      <c r="F1295" s="48" t="s">
        <v>1567</v>
      </c>
      <c r="G1295" s="47"/>
      <c r="H1295" s="47"/>
      <c r="I1295" s="40"/>
      <c r="J1295" s="40">
        <v>0</v>
      </c>
      <c r="K1295" s="20"/>
      <c r="L1295" s="20"/>
      <c r="M1295" s="110">
        <f>IF(L1295="",I1295,(MIN(J1295,(L1295*1.6*J1295))))</f>
        <v>0</v>
      </c>
      <c r="N1295" s="111">
        <f>IF(M1295=0,0,(M1295/J1295))</f>
        <v>0</v>
      </c>
    </row>
    <row r="1296" spans="2:14">
      <c r="B1296" s="72">
        <v>127871</v>
      </c>
      <c r="C1296" s="126" t="s">
        <v>1555</v>
      </c>
      <c r="D1296" s="123">
        <f>SUMIF(B$3:B$3844,B1296,M$3:M$3844)/(SUMIF(B$3:B$3844,B1296,J$3:J$3844))</f>
        <v>0.68063164679342569</v>
      </c>
      <c r="E1296" s="47">
        <v>16082986</v>
      </c>
      <c r="F1296" s="48" t="s">
        <v>1568</v>
      </c>
      <c r="G1296" s="47"/>
      <c r="H1296" s="47"/>
      <c r="I1296" s="40"/>
      <c r="J1296" s="40">
        <v>0</v>
      </c>
      <c r="K1296" s="20"/>
      <c r="L1296" s="20"/>
      <c r="M1296" s="110">
        <f>IF(L1296="",I1296,(MIN(J1296,(L1296*1.6*J1296))))</f>
        <v>0</v>
      </c>
      <c r="N1296" s="111">
        <f>IF(M1296=0,0,(M1296/J1296))</f>
        <v>0</v>
      </c>
    </row>
    <row r="1297" spans="2:14">
      <c r="B1297" s="72">
        <v>127871</v>
      </c>
      <c r="C1297" s="126" t="s">
        <v>1555</v>
      </c>
      <c r="D1297" s="123">
        <f>SUMIF(B$3:B$3844,B1297,M$3:M$3844)/(SUMIF(B$3:B$3844,B1297,J$3:J$3844))</f>
        <v>0.68063164679342569</v>
      </c>
      <c r="E1297" s="47">
        <v>16033679</v>
      </c>
      <c r="F1297" s="48" t="s">
        <v>1569</v>
      </c>
      <c r="G1297" s="47"/>
      <c r="H1297" s="47"/>
      <c r="I1297" s="40"/>
      <c r="J1297" s="40">
        <v>0</v>
      </c>
      <c r="K1297" s="20"/>
      <c r="L1297" s="20"/>
      <c r="M1297" s="110">
        <f>IF(L1297="",I1297,(MIN(J1297,(L1297*1.6*J1297))))</f>
        <v>0</v>
      </c>
      <c r="N1297" s="111">
        <f>IF(M1297=0,0,(M1297/J1297))</f>
        <v>0</v>
      </c>
    </row>
    <row r="1298" spans="2:14">
      <c r="B1298" s="72">
        <v>127871</v>
      </c>
      <c r="C1298" s="126" t="s">
        <v>1555</v>
      </c>
      <c r="D1298" s="123">
        <f>SUMIF(B$3:B$3844,B1298,M$3:M$3844)/(SUMIF(B$3:B$3844,B1298,J$3:J$3844))</f>
        <v>0.68063164679342569</v>
      </c>
      <c r="E1298" s="47">
        <v>16082915</v>
      </c>
      <c r="F1298" s="48" t="s">
        <v>1570</v>
      </c>
      <c r="G1298" s="47"/>
      <c r="H1298" s="47"/>
      <c r="I1298" s="40"/>
      <c r="J1298" s="40" t="s">
        <v>798</v>
      </c>
      <c r="K1298" s="20"/>
      <c r="L1298" s="20"/>
      <c r="M1298" s="110">
        <f>IF(L1298="",I1298,(MIN(J1298,(L1298*1.6*J1298))))</f>
        <v>0</v>
      </c>
      <c r="N1298" s="111">
        <f>IF(M1298=0,0,(M1298/J1298))</f>
        <v>0</v>
      </c>
    </row>
    <row r="1299" spans="2:14">
      <c r="B1299" s="72">
        <v>127871</v>
      </c>
      <c r="C1299" s="126" t="s">
        <v>1555</v>
      </c>
      <c r="D1299" s="123">
        <f>SUMIF(B$3:B$3844,B1299,M$3:M$3844)/(SUMIF(B$3:B$3844,B1299,J$3:J$3844))</f>
        <v>0.68063164679342569</v>
      </c>
      <c r="E1299" s="47">
        <v>38609</v>
      </c>
      <c r="F1299" s="48" t="s">
        <v>1571</v>
      </c>
      <c r="G1299" s="47"/>
      <c r="H1299" s="47"/>
      <c r="I1299" s="40">
        <v>714</v>
      </c>
      <c r="J1299" s="40">
        <v>1166</v>
      </c>
      <c r="K1299" s="20"/>
      <c r="L1299" s="20"/>
      <c r="M1299" s="110">
        <f>IF(L1299="",I1299,(MIN(J1299,(L1299*1.6*J1299))))</f>
        <v>714</v>
      </c>
      <c r="N1299" s="111">
        <f>IF(M1299=0,0,(M1299/J1299))</f>
        <v>0.6123499142367067</v>
      </c>
    </row>
    <row r="1300" spans="2:14">
      <c r="B1300" s="72">
        <v>127871</v>
      </c>
      <c r="C1300" s="126" t="s">
        <v>1555</v>
      </c>
      <c r="D1300" s="123">
        <f>SUMIF(B$3:B$3844,B1300,M$3:M$3844)/(SUMIF(B$3:B$3844,B1300,J$3:J$3844))</f>
        <v>0.68063164679342569</v>
      </c>
      <c r="E1300" s="47">
        <v>16082918</v>
      </c>
      <c r="F1300" s="48" t="s">
        <v>1572</v>
      </c>
      <c r="G1300" s="47"/>
      <c r="H1300" s="47"/>
      <c r="I1300" s="40"/>
      <c r="J1300" s="40">
        <v>0</v>
      </c>
      <c r="K1300" s="20"/>
      <c r="L1300" s="20"/>
      <c r="M1300" s="110">
        <f>IF(L1300="",I1300,(MIN(J1300,(L1300*1.6*J1300))))</f>
        <v>0</v>
      </c>
      <c r="N1300" s="111">
        <f>IF(M1300=0,0,(M1300/J1300))</f>
        <v>0</v>
      </c>
    </row>
    <row r="1301" spans="2:14">
      <c r="B1301" s="72">
        <v>127871</v>
      </c>
      <c r="C1301" s="126" t="s">
        <v>1555</v>
      </c>
      <c r="D1301" s="123">
        <f>SUMIF(B$3:B$3844,B1301,M$3:M$3844)/(SUMIF(B$3:B$3844,B1301,J$3:J$3844))</f>
        <v>0.68063164679342569</v>
      </c>
      <c r="E1301" s="47">
        <v>16082917</v>
      </c>
      <c r="F1301" s="48" t="s">
        <v>1573</v>
      </c>
      <c r="G1301" s="47"/>
      <c r="H1301" s="47"/>
      <c r="I1301" s="40"/>
      <c r="J1301" s="40">
        <v>17</v>
      </c>
      <c r="K1301" s="20"/>
      <c r="L1301" s="20"/>
      <c r="M1301" s="110">
        <f>IF(L1301="",I1301,(MIN(J1301,(L1301*1.6*J1301))))</f>
        <v>0</v>
      </c>
      <c r="N1301" s="111">
        <f>IF(M1301=0,0,(M1301/J1301))</f>
        <v>0</v>
      </c>
    </row>
    <row r="1302" spans="2:14" ht="30">
      <c r="B1302" s="72">
        <v>127871</v>
      </c>
      <c r="C1302" s="126" t="s">
        <v>1555</v>
      </c>
      <c r="D1302" s="123">
        <f>SUMIF(B$3:B$3844,B1302,M$3:M$3844)/(SUMIF(B$3:B$3844,B1302,J$3:J$3844))</f>
        <v>0.68063164679342569</v>
      </c>
      <c r="E1302" s="47">
        <v>16082916</v>
      </c>
      <c r="F1302" s="48" t="s">
        <v>1574</v>
      </c>
      <c r="G1302" s="47"/>
      <c r="H1302" s="47"/>
      <c r="I1302" s="40"/>
      <c r="J1302" s="40">
        <v>0</v>
      </c>
      <c r="K1302" s="20"/>
      <c r="L1302" s="20"/>
      <c r="M1302" s="110">
        <f>IF(L1302="",I1302,(MIN(J1302,(L1302*1.6*J1302))))</f>
        <v>0</v>
      </c>
      <c r="N1302" s="111">
        <f>IF(M1302=0,0,(M1302/J1302))</f>
        <v>0</v>
      </c>
    </row>
    <row r="1303" spans="2:14">
      <c r="B1303" s="72">
        <v>127871</v>
      </c>
      <c r="C1303" s="126" t="s">
        <v>1555</v>
      </c>
      <c r="D1303" s="123">
        <f>SUMIF(B$3:B$3844,B1303,M$3:M$3844)/(SUMIF(B$3:B$3844,B1303,J$3:J$3844))</f>
        <v>0.68063164679342569</v>
      </c>
      <c r="E1303" s="47">
        <v>16082914</v>
      </c>
      <c r="F1303" s="48" t="s">
        <v>1575</v>
      </c>
      <c r="G1303" s="47"/>
      <c r="H1303" s="47"/>
      <c r="I1303" s="40"/>
      <c r="J1303" s="40">
        <v>0</v>
      </c>
      <c r="K1303" s="20"/>
      <c r="L1303" s="20"/>
      <c r="M1303" s="110">
        <f>IF(L1303="",I1303,(MIN(J1303,(L1303*1.6*J1303))))</f>
        <v>0</v>
      </c>
      <c r="N1303" s="111">
        <f>IF(M1303=0,0,(M1303/J1303))</f>
        <v>0</v>
      </c>
    </row>
    <row r="1304" spans="2:14" ht="30">
      <c r="B1304" s="72">
        <v>127871</v>
      </c>
      <c r="C1304" s="126" t="s">
        <v>1555</v>
      </c>
      <c r="D1304" s="123">
        <f>SUMIF(B$3:B$3844,B1304,M$3:M$3844)/(SUMIF(B$3:B$3844,B1304,J$3:J$3844))</f>
        <v>0.68063164679342569</v>
      </c>
      <c r="E1304" s="47">
        <v>38628</v>
      </c>
      <c r="F1304" s="48" t="s">
        <v>1576</v>
      </c>
      <c r="G1304" s="47"/>
      <c r="H1304" s="47"/>
      <c r="I1304" s="40">
        <v>679</v>
      </c>
      <c r="J1304" s="40">
        <v>996</v>
      </c>
      <c r="K1304" s="20"/>
      <c r="L1304" s="20"/>
      <c r="M1304" s="110">
        <f>IF(L1304="",I1304,(MIN(J1304,(L1304*1.6*J1304))))</f>
        <v>679</v>
      </c>
      <c r="N1304" s="111">
        <f>IF(M1304=0,0,(M1304/J1304))</f>
        <v>0.68172690763052213</v>
      </c>
    </row>
    <row r="1305" spans="2:14">
      <c r="B1305" s="72">
        <v>127871</v>
      </c>
      <c r="C1305" s="126" t="s">
        <v>1555</v>
      </c>
      <c r="D1305" s="123">
        <f>SUMIF(B$3:B$3844,B1305,M$3:M$3844)/(SUMIF(B$3:B$3844,B1305,J$3:J$3844))</f>
        <v>0.68063164679342569</v>
      </c>
      <c r="E1305" s="47">
        <v>38614</v>
      </c>
      <c r="F1305" s="48" t="s">
        <v>1577</v>
      </c>
      <c r="G1305" s="47"/>
      <c r="H1305" s="47"/>
      <c r="I1305" s="40">
        <v>493</v>
      </c>
      <c r="J1305" s="40">
        <v>603</v>
      </c>
      <c r="K1305" s="20"/>
      <c r="L1305" s="20"/>
      <c r="M1305" s="110">
        <f>IF(L1305="",I1305,(MIN(J1305,(L1305*1.6*J1305))))</f>
        <v>493</v>
      </c>
      <c r="N1305" s="111">
        <f>IF(M1305=0,0,(M1305/J1305))</f>
        <v>0.81757877280265345</v>
      </c>
    </row>
    <row r="1306" spans="2:14">
      <c r="B1306" s="72">
        <v>127871</v>
      </c>
      <c r="C1306" s="126" t="s">
        <v>1555</v>
      </c>
      <c r="D1306" s="123">
        <f>SUMIF(B$3:B$3844,B1306,M$3:M$3844)/(SUMIF(B$3:B$3844,B1306,J$3:J$3844))</f>
        <v>0.68063164679342569</v>
      </c>
      <c r="E1306" s="47">
        <v>232238</v>
      </c>
      <c r="F1306" s="48" t="s">
        <v>1578</v>
      </c>
      <c r="G1306" s="47"/>
      <c r="H1306" s="47"/>
      <c r="I1306" s="40">
        <v>673</v>
      </c>
      <c r="J1306" s="40">
        <v>1268</v>
      </c>
      <c r="K1306" s="20"/>
      <c r="L1306" s="20"/>
      <c r="M1306" s="110">
        <f>IF(L1306="",I1306,(MIN(J1306,(L1306*1.6*J1306))))</f>
        <v>673</v>
      </c>
      <c r="N1306" s="111">
        <f>IF(M1306=0,0,(M1306/J1306))</f>
        <v>0.53075709779179814</v>
      </c>
    </row>
    <row r="1307" spans="2:14">
      <c r="B1307" s="72">
        <v>127871</v>
      </c>
      <c r="C1307" s="126" t="s">
        <v>1555</v>
      </c>
      <c r="D1307" s="123">
        <f>SUMIF(B$3:B$3844,B1307,M$3:M$3844)/(SUMIF(B$3:B$3844,B1307,J$3:J$3844))</f>
        <v>0.68063164679342569</v>
      </c>
      <c r="E1307" s="47">
        <v>16082985</v>
      </c>
      <c r="F1307" s="48" t="s">
        <v>1579</v>
      </c>
      <c r="G1307" s="47"/>
      <c r="H1307" s="47"/>
      <c r="I1307" s="40"/>
      <c r="J1307" s="40">
        <v>0</v>
      </c>
      <c r="K1307" s="20"/>
      <c r="L1307" s="20"/>
      <c r="M1307" s="110">
        <f>IF(L1307="",I1307,(MIN(J1307,(L1307*1.6*J1307))))</f>
        <v>0</v>
      </c>
      <c r="N1307" s="111">
        <f>IF(M1307=0,0,(M1307/J1307))</f>
        <v>0</v>
      </c>
    </row>
    <row r="1308" spans="2:14">
      <c r="B1308" s="72">
        <v>127871</v>
      </c>
      <c r="C1308" s="126" t="s">
        <v>1555</v>
      </c>
      <c r="D1308" s="123">
        <f>SUMIF(B$3:B$3844,B1308,M$3:M$3844)/(SUMIF(B$3:B$3844,B1308,J$3:J$3844))</f>
        <v>0.68063164679342569</v>
      </c>
      <c r="E1308" s="47">
        <v>38634</v>
      </c>
      <c r="F1308" s="48" t="s">
        <v>1580</v>
      </c>
      <c r="G1308" s="47"/>
      <c r="H1308" s="47"/>
      <c r="I1308" s="40">
        <v>509</v>
      </c>
      <c r="J1308" s="40">
        <v>624</v>
      </c>
      <c r="K1308" s="20"/>
      <c r="L1308" s="20"/>
      <c r="M1308" s="110">
        <f>IF(L1308="",I1308,(MIN(J1308,(L1308*1.6*J1308))))</f>
        <v>509</v>
      </c>
      <c r="N1308" s="111">
        <f>IF(M1308=0,0,(M1308/J1308))</f>
        <v>0.81570512820512819</v>
      </c>
    </row>
    <row r="1309" spans="2:14">
      <c r="B1309" s="72">
        <v>127871</v>
      </c>
      <c r="C1309" s="126" t="s">
        <v>1555</v>
      </c>
      <c r="D1309" s="123">
        <f>SUMIF(B$3:B$3844,B1309,M$3:M$3844)/(SUMIF(B$3:B$3844,B1309,J$3:J$3844))</f>
        <v>0.68063164679342569</v>
      </c>
      <c r="E1309" s="47">
        <v>38626</v>
      </c>
      <c r="F1309" s="48" t="s">
        <v>1581</v>
      </c>
      <c r="G1309" s="47"/>
      <c r="H1309" s="47"/>
      <c r="I1309" s="40">
        <v>549</v>
      </c>
      <c r="J1309" s="40">
        <v>836</v>
      </c>
      <c r="K1309" s="20"/>
      <c r="L1309" s="20"/>
      <c r="M1309" s="110">
        <f>IF(L1309="",I1309,(MIN(J1309,(L1309*1.6*J1309))))</f>
        <v>549</v>
      </c>
      <c r="N1309" s="111">
        <f>IF(M1309=0,0,(M1309/J1309))</f>
        <v>0.65669856459330145</v>
      </c>
    </row>
    <row r="1310" spans="2:14">
      <c r="B1310" s="72">
        <v>127871</v>
      </c>
      <c r="C1310" s="126" t="s">
        <v>1555</v>
      </c>
      <c r="D1310" s="123">
        <f>SUMIF(B$3:B$3844,B1310,M$3:M$3844)/(SUMIF(B$3:B$3844,B1310,J$3:J$3844))</f>
        <v>0.68063164679342569</v>
      </c>
      <c r="E1310" s="47">
        <v>38625</v>
      </c>
      <c r="F1310" s="48" t="s">
        <v>1582</v>
      </c>
      <c r="G1310" s="47"/>
      <c r="H1310" s="47"/>
      <c r="I1310" s="40">
        <v>588</v>
      </c>
      <c r="J1310" s="40">
        <v>749</v>
      </c>
      <c r="K1310" s="20"/>
      <c r="L1310" s="20"/>
      <c r="M1310" s="110">
        <f>IF(L1310="",I1310,(MIN(J1310,(L1310*1.6*J1310))))</f>
        <v>588</v>
      </c>
      <c r="N1310" s="127">
        <f>IF(M1310=0,0,(M1310/J1310))</f>
        <v>0.78504672897196259</v>
      </c>
    </row>
    <row r="1311" spans="2:14">
      <c r="B1311" s="72">
        <v>127871</v>
      </c>
      <c r="C1311" s="126" t="s">
        <v>1555</v>
      </c>
      <c r="D1311" s="123">
        <f>SUMIF(B$3:B$3844,B1311,M$3:M$3844)/(SUMIF(B$3:B$3844,B1311,J$3:J$3844))</f>
        <v>0.68063164679342569</v>
      </c>
      <c r="E1311" s="47">
        <v>38629</v>
      </c>
      <c r="F1311" s="48" t="s">
        <v>1583</v>
      </c>
      <c r="G1311" s="47"/>
      <c r="H1311" s="47"/>
      <c r="I1311" s="40">
        <v>633</v>
      </c>
      <c r="J1311" s="40">
        <v>946</v>
      </c>
      <c r="K1311" s="20"/>
      <c r="L1311" s="20"/>
      <c r="M1311" s="110">
        <f>IF(L1311="",I1311,(MIN(J1311,(L1311*1.6*J1311))))</f>
        <v>633</v>
      </c>
      <c r="N1311" s="111">
        <f>IF(M1311=0,0,(M1311/J1311))</f>
        <v>0.66913319238900637</v>
      </c>
    </row>
    <row r="1312" spans="2:14">
      <c r="B1312" s="72">
        <v>127871</v>
      </c>
      <c r="C1312" s="126" t="s">
        <v>1555</v>
      </c>
      <c r="D1312" s="123">
        <f>SUMIF(B$3:B$3844,B1312,M$3:M$3844)/(SUMIF(B$3:B$3844,B1312,J$3:J$3844))</f>
        <v>0.68063164679342569</v>
      </c>
      <c r="E1312" s="47">
        <v>16049524</v>
      </c>
      <c r="F1312" s="48" t="s">
        <v>1584</v>
      </c>
      <c r="G1312" s="47"/>
      <c r="H1312" s="47"/>
      <c r="I1312" s="40">
        <v>999</v>
      </c>
      <c r="J1312" s="40">
        <v>1566</v>
      </c>
      <c r="K1312" s="20"/>
      <c r="L1312" s="20"/>
      <c r="M1312" s="110">
        <f>IF(L1312="",I1312,(MIN(J1312,(L1312*1.6*J1312))))</f>
        <v>999</v>
      </c>
      <c r="N1312" s="111">
        <f>IF(M1312=0,0,(M1312/J1312))</f>
        <v>0.63793103448275867</v>
      </c>
    </row>
    <row r="1313" spans="2:14">
      <c r="B1313" s="72">
        <v>127871</v>
      </c>
      <c r="C1313" s="126" t="s">
        <v>1555</v>
      </c>
      <c r="D1313" s="123">
        <f>SUMIF(B$3:B$3844,B1313,M$3:M$3844)/(SUMIF(B$3:B$3844,B1313,J$3:J$3844))</f>
        <v>0.68063164679342569</v>
      </c>
      <c r="E1313" s="47">
        <v>38632</v>
      </c>
      <c r="F1313" s="48" t="s">
        <v>1585</v>
      </c>
      <c r="G1313" s="47"/>
      <c r="H1313" s="47"/>
      <c r="I1313" s="40">
        <v>461</v>
      </c>
      <c r="J1313" s="40">
        <v>592</v>
      </c>
      <c r="K1313" s="20"/>
      <c r="L1313" s="20"/>
      <c r="M1313" s="110">
        <f>IF(L1313="",I1313,(MIN(J1313,(L1313*1.6*J1313))))</f>
        <v>461</v>
      </c>
      <c r="N1313" s="111">
        <f>IF(M1313=0,0,(M1313/J1313))</f>
        <v>0.77871621621621623</v>
      </c>
    </row>
    <row r="1314" spans="2:14">
      <c r="B1314" s="72">
        <v>127871</v>
      </c>
      <c r="C1314" s="126" t="s">
        <v>1555</v>
      </c>
      <c r="D1314" s="123">
        <f>SUMIF(B$3:B$3844,B1314,M$3:M$3844)/(SUMIF(B$3:B$3844,B1314,J$3:J$3844))</f>
        <v>0.68063164679342569</v>
      </c>
      <c r="E1314" s="47">
        <v>38621</v>
      </c>
      <c r="F1314" s="48" t="s">
        <v>1586</v>
      </c>
      <c r="G1314" s="47"/>
      <c r="H1314" s="47"/>
      <c r="I1314" s="40">
        <v>495</v>
      </c>
      <c r="J1314" s="40">
        <v>562</v>
      </c>
      <c r="K1314" s="20"/>
      <c r="L1314" s="20"/>
      <c r="M1314" s="110">
        <f>IF(L1314="",I1314,(MIN(J1314,(L1314*1.6*J1314))))</f>
        <v>495</v>
      </c>
      <c r="N1314" s="111">
        <f>IF(M1314=0,0,(M1314/J1314))</f>
        <v>0.88078291814946619</v>
      </c>
    </row>
    <row r="1315" spans="2:14">
      <c r="B1315" s="72">
        <v>127871</v>
      </c>
      <c r="C1315" s="126" t="s">
        <v>1555</v>
      </c>
      <c r="D1315" s="123">
        <f>SUMIF(B$3:B$3844,B1315,M$3:M$3844)/(SUMIF(B$3:B$3844,B1315,J$3:J$3844))</f>
        <v>0.68063164679342569</v>
      </c>
      <c r="E1315" s="47">
        <v>16064265</v>
      </c>
      <c r="F1315" s="48" t="s">
        <v>1587</v>
      </c>
      <c r="G1315" s="47"/>
      <c r="H1315" s="47"/>
      <c r="I1315" s="40">
        <v>924</v>
      </c>
      <c r="J1315" s="40">
        <v>1344</v>
      </c>
      <c r="K1315" s="20"/>
      <c r="L1315" s="20"/>
      <c r="M1315" s="110">
        <f>IF(L1315="",I1315,(MIN(J1315,(L1315*1.6*J1315))))</f>
        <v>924</v>
      </c>
      <c r="N1315" s="111">
        <f>IF(M1315=0,0,(M1315/J1315))</f>
        <v>0.6875</v>
      </c>
    </row>
    <row r="1316" spans="2:14">
      <c r="B1316" s="73">
        <v>127825</v>
      </c>
      <c r="C1316" s="23" t="s">
        <v>2034</v>
      </c>
      <c r="D1316" s="123">
        <f>SUMIF(B$3:B$3844,B1316,M$3:M$3844)/(SUMIF(B$3:B$3844,B1316,J$3:J$3844))</f>
        <v>0.7605964826971392</v>
      </c>
      <c r="E1316" s="23">
        <v>38094</v>
      </c>
      <c r="F1316" s="46" t="s">
        <v>2035</v>
      </c>
      <c r="G1316" s="23"/>
      <c r="H1316" s="23"/>
      <c r="I1316" s="41">
        <v>513</v>
      </c>
      <c r="J1316" s="41">
        <v>592</v>
      </c>
      <c r="K1316" s="118"/>
      <c r="L1316" s="119"/>
      <c r="M1316" s="110">
        <f>IF(L1316="",I1316,(MIN(J1316,(L1316*1.6*J1316))))</f>
        <v>513</v>
      </c>
      <c r="N1316" s="111">
        <f>IF(M1316=0,0,(M1316/J1316))</f>
        <v>0.86655405405405406</v>
      </c>
    </row>
    <row r="1317" spans="2:14">
      <c r="B1317" s="72">
        <v>127825</v>
      </c>
      <c r="C1317" s="47" t="s">
        <v>2034</v>
      </c>
      <c r="D1317" s="123">
        <f>SUMIF(B$3:B$3844,B1317,M$3:M$3844)/(SUMIF(B$3:B$3844,B1317,J$3:J$3844))</f>
        <v>0.7605964826971392</v>
      </c>
      <c r="E1317" s="47">
        <v>38096</v>
      </c>
      <c r="F1317" s="48" t="s">
        <v>2036</v>
      </c>
      <c r="G1317" s="47"/>
      <c r="H1317" s="47"/>
      <c r="I1317" s="40">
        <v>767</v>
      </c>
      <c r="J1317" s="40">
        <v>1020</v>
      </c>
      <c r="K1317" s="118"/>
      <c r="L1317" s="119"/>
      <c r="M1317" s="110">
        <f>IF(L1317="",I1317,(MIN(J1317,(L1317*1.6*J1317))))</f>
        <v>767</v>
      </c>
      <c r="N1317" s="111">
        <f>IF(M1317=0,0,(M1317/J1317))</f>
        <v>0.75196078431372548</v>
      </c>
    </row>
    <row r="1318" spans="2:14">
      <c r="B1318" s="73">
        <v>127825</v>
      </c>
      <c r="C1318" s="23" t="s">
        <v>2034</v>
      </c>
      <c r="D1318" s="123">
        <f>SUMIF(B$3:B$3844,B1318,M$3:M$3844)/(SUMIF(B$3:B$3844,B1318,J$3:J$3844))</f>
        <v>0.7605964826971392</v>
      </c>
      <c r="E1318" s="23">
        <v>38097</v>
      </c>
      <c r="F1318" s="46" t="s">
        <v>2037</v>
      </c>
      <c r="G1318" s="23"/>
      <c r="H1318" s="23"/>
      <c r="I1318" s="41">
        <v>639</v>
      </c>
      <c r="J1318" s="41">
        <v>728</v>
      </c>
      <c r="K1318" s="118"/>
      <c r="L1318" s="119"/>
      <c r="M1318" s="110">
        <f>IF(L1318="",I1318,(MIN(J1318,(L1318*1.6*J1318))))</f>
        <v>639</v>
      </c>
      <c r="N1318" s="111">
        <f>IF(M1318=0,0,(M1318/J1318))</f>
        <v>0.87774725274725274</v>
      </c>
    </row>
    <row r="1319" spans="2:14">
      <c r="B1319" s="72">
        <v>127825</v>
      </c>
      <c r="C1319" s="47" t="s">
        <v>2034</v>
      </c>
      <c r="D1319" s="123">
        <f>SUMIF(B$3:B$3844,B1319,M$3:M$3844)/(SUMIF(B$3:B$3844,B1319,J$3:J$3844))</f>
        <v>0.7605964826971392</v>
      </c>
      <c r="E1319" s="47">
        <v>38168</v>
      </c>
      <c r="F1319" s="48" t="s">
        <v>2038</v>
      </c>
      <c r="G1319" s="47"/>
      <c r="H1319" s="47"/>
      <c r="I1319" s="40">
        <v>399</v>
      </c>
      <c r="J1319" s="40">
        <v>675</v>
      </c>
      <c r="K1319" s="118"/>
      <c r="L1319" s="119"/>
      <c r="M1319" s="110">
        <f>IF(L1319="",I1319,(MIN(J1319,(L1319*1.6*J1319))))</f>
        <v>399</v>
      </c>
      <c r="N1319" s="111">
        <f>IF(M1319=0,0,(M1319/J1319))</f>
        <v>0.59111111111111114</v>
      </c>
    </row>
    <row r="1320" spans="2:14">
      <c r="B1320" s="73">
        <v>127825</v>
      </c>
      <c r="C1320" s="23" t="s">
        <v>2034</v>
      </c>
      <c r="D1320" s="123">
        <f>SUMIF(B$3:B$3844,B1320,M$3:M$3844)/(SUMIF(B$3:B$3844,B1320,J$3:J$3844))</f>
        <v>0.7605964826971392</v>
      </c>
      <c r="E1320" s="23">
        <v>38164</v>
      </c>
      <c r="F1320" s="46" t="s">
        <v>2039</v>
      </c>
      <c r="G1320" s="23"/>
      <c r="H1320" s="23"/>
      <c r="I1320" s="41">
        <v>559</v>
      </c>
      <c r="J1320" s="41">
        <v>612</v>
      </c>
      <c r="K1320" s="118"/>
      <c r="L1320" s="119"/>
      <c r="M1320" s="110">
        <f>IF(L1320="",I1320,(MIN(J1320,(L1320*1.6*J1320))))</f>
        <v>559</v>
      </c>
      <c r="N1320" s="111">
        <f>IF(M1320=0,0,(M1320/J1320))</f>
        <v>0.91339869281045749</v>
      </c>
    </row>
    <row r="1321" spans="2:14">
      <c r="B1321" s="72">
        <v>127825</v>
      </c>
      <c r="C1321" s="47" t="s">
        <v>2034</v>
      </c>
      <c r="D1321" s="123">
        <f>SUMIF(B$3:B$3844,B1321,M$3:M$3844)/(SUMIF(B$3:B$3844,B1321,J$3:J$3844))</f>
        <v>0.7605964826971392</v>
      </c>
      <c r="E1321" s="47">
        <v>16083366</v>
      </c>
      <c r="F1321" s="48" t="s">
        <v>2040</v>
      </c>
      <c r="G1321" s="47"/>
      <c r="H1321" s="47"/>
      <c r="I1321" s="40"/>
      <c r="J1321" s="40">
        <v>0</v>
      </c>
      <c r="K1321" s="118"/>
      <c r="L1321" s="119"/>
      <c r="M1321" s="110">
        <f>IF(L1321="",I1321,(MIN(J1321,(L1321*1.6*J1321))))</f>
        <v>0</v>
      </c>
      <c r="N1321" s="111">
        <f>IF(M1321=0,0,(M1321/J1321))</f>
        <v>0</v>
      </c>
    </row>
    <row r="1322" spans="2:14">
      <c r="B1322" s="73">
        <v>127825</v>
      </c>
      <c r="C1322" s="23" t="s">
        <v>2034</v>
      </c>
      <c r="D1322" s="123">
        <f>SUMIF(B$3:B$3844,B1322,M$3:M$3844)/(SUMIF(B$3:B$3844,B1322,J$3:J$3844))</f>
        <v>0.7605964826971392</v>
      </c>
      <c r="E1322" s="23">
        <v>16083365</v>
      </c>
      <c r="F1322" s="46" t="s">
        <v>2041</v>
      </c>
      <c r="G1322" s="23"/>
      <c r="H1322" s="23"/>
      <c r="I1322" s="41">
        <v>9</v>
      </c>
      <c r="J1322" s="41">
        <v>24</v>
      </c>
      <c r="K1322" s="118"/>
      <c r="L1322" s="119"/>
      <c r="M1322" s="110">
        <f>IF(L1322="",I1322,(MIN(J1322,(L1322*1.6*J1322))))</f>
        <v>9</v>
      </c>
      <c r="N1322" s="111">
        <f>IF(M1322=0,0,(M1322/J1322))</f>
        <v>0.375</v>
      </c>
    </row>
    <row r="1323" spans="2:14">
      <c r="B1323" s="72">
        <v>127825</v>
      </c>
      <c r="C1323" s="47" t="s">
        <v>2034</v>
      </c>
      <c r="D1323" s="123">
        <f>SUMIF(B$3:B$3844,B1323,M$3:M$3844)/(SUMIF(B$3:B$3844,B1323,J$3:J$3844))</f>
        <v>0.7605964826971392</v>
      </c>
      <c r="E1323" s="47">
        <v>38167</v>
      </c>
      <c r="F1323" s="48" t="s">
        <v>2042</v>
      </c>
      <c r="G1323" s="47"/>
      <c r="H1323" s="47"/>
      <c r="I1323" s="40">
        <v>484</v>
      </c>
      <c r="J1323" s="40">
        <v>665</v>
      </c>
      <c r="K1323" s="118"/>
      <c r="L1323" s="119"/>
      <c r="M1323" s="110">
        <f>IF(L1323="",I1323,(MIN(J1323,(L1323*1.6*J1323))))</f>
        <v>484</v>
      </c>
      <c r="N1323" s="111">
        <f>IF(M1323=0,0,(M1323/J1323))</f>
        <v>0.72781954887218048</v>
      </c>
    </row>
    <row r="1324" spans="2:14">
      <c r="B1324" s="73">
        <v>127825</v>
      </c>
      <c r="C1324" s="23" t="s">
        <v>2034</v>
      </c>
      <c r="D1324" s="123">
        <f>SUMIF(B$3:B$3844,B1324,M$3:M$3844)/(SUMIF(B$3:B$3844,B1324,J$3:J$3844))</f>
        <v>0.7605964826971392</v>
      </c>
      <c r="E1324" s="23">
        <v>38140</v>
      </c>
      <c r="F1324" s="46" t="s">
        <v>2043</v>
      </c>
      <c r="G1324" s="23"/>
      <c r="H1324" s="23"/>
      <c r="I1324" s="41">
        <v>510</v>
      </c>
      <c r="J1324" s="41">
        <v>606</v>
      </c>
      <c r="K1324" s="118"/>
      <c r="L1324" s="119"/>
      <c r="M1324" s="110">
        <f>IF(L1324="",I1324,(MIN(J1324,(L1324*1.6*J1324))))</f>
        <v>510</v>
      </c>
      <c r="N1324" s="111">
        <f>IF(M1324=0,0,(M1324/J1324))</f>
        <v>0.84158415841584155</v>
      </c>
    </row>
    <row r="1325" spans="2:14">
      <c r="B1325" s="72">
        <v>127825</v>
      </c>
      <c r="C1325" s="47" t="s">
        <v>2034</v>
      </c>
      <c r="D1325" s="123">
        <f>SUMIF(B$3:B$3844,B1325,M$3:M$3844)/(SUMIF(B$3:B$3844,B1325,J$3:J$3844))</f>
        <v>0.7605964826971392</v>
      </c>
      <c r="E1325" s="47">
        <v>38142</v>
      </c>
      <c r="F1325" s="48" t="s">
        <v>2044</v>
      </c>
      <c r="G1325" s="47"/>
      <c r="H1325" s="47"/>
      <c r="I1325" s="40">
        <v>682</v>
      </c>
      <c r="J1325" s="40">
        <v>843</v>
      </c>
      <c r="K1325" s="118"/>
      <c r="L1325" s="119"/>
      <c r="M1325" s="110">
        <f>IF(L1325="",I1325,(MIN(J1325,(L1325*1.6*J1325))))</f>
        <v>682</v>
      </c>
      <c r="N1325" s="111">
        <f>IF(M1325=0,0,(M1325/J1325))</f>
        <v>0.80901542111506519</v>
      </c>
    </row>
    <row r="1326" spans="2:14">
      <c r="B1326" s="73">
        <v>127825</v>
      </c>
      <c r="C1326" s="23" t="s">
        <v>2034</v>
      </c>
      <c r="D1326" s="123">
        <f>SUMIF(B$3:B$3844,B1326,M$3:M$3844)/(SUMIF(B$3:B$3844,B1326,J$3:J$3844))</f>
        <v>0.7605964826971392</v>
      </c>
      <c r="E1326" s="23">
        <v>38143</v>
      </c>
      <c r="F1326" s="46" t="s">
        <v>2045</v>
      </c>
      <c r="G1326" s="23"/>
      <c r="H1326" s="23"/>
      <c r="I1326" s="41">
        <v>564</v>
      </c>
      <c r="J1326" s="41">
        <v>821</v>
      </c>
      <c r="K1326" s="118"/>
      <c r="L1326" s="119"/>
      <c r="M1326" s="110">
        <f>IF(L1326="",I1326,(MIN(J1326,(L1326*1.6*J1326))))</f>
        <v>564</v>
      </c>
      <c r="N1326" s="111">
        <f>IF(M1326=0,0,(M1326/J1326))</f>
        <v>0.68696711327649207</v>
      </c>
    </row>
    <row r="1327" spans="2:14">
      <c r="B1327" s="72">
        <v>127825</v>
      </c>
      <c r="C1327" s="47" t="s">
        <v>2034</v>
      </c>
      <c r="D1327" s="123">
        <f>SUMIF(B$3:B$3844,B1327,M$3:M$3844)/(SUMIF(B$3:B$3844,B1327,J$3:J$3844))</f>
        <v>0.7605964826971392</v>
      </c>
      <c r="E1327" s="47">
        <v>38144</v>
      </c>
      <c r="F1327" s="48" t="s">
        <v>2046</v>
      </c>
      <c r="G1327" s="47"/>
      <c r="H1327" s="47"/>
      <c r="I1327" s="40">
        <v>453</v>
      </c>
      <c r="J1327" s="40">
        <v>587</v>
      </c>
      <c r="K1327" s="118"/>
      <c r="L1327" s="119"/>
      <c r="M1327" s="110">
        <f>IF(L1327="",I1327,(MIN(J1327,(L1327*1.6*J1327))))</f>
        <v>453</v>
      </c>
      <c r="N1327" s="111">
        <f>IF(M1327=0,0,(M1327/J1327))</f>
        <v>0.77172061328790464</v>
      </c>
    </row>
    <row r="1328" spans="2:14">
      <c r="B1328" s="73">
        <v>127825</v>
      </c>
      <c r="C1328" s="23" t="s">
        <v>2034</v>
      </c>
      <c r="D1328" s="123">
        <f>SUMIF(B$3:B$3844,B1328,M$3:M$3844)/(SUMIF(B$3:B$3844,B1328,J$3:J$3844))</f>
        <v>0.7605964826971392</v>
      </c>
      <c r="E1328" s="23">
        <v>16049480</v>
      </c>
      <c r="F1328" s="46" t="s">
        <v>2047</v>
      </c>
      <c r="G1328" s="23"/>
      <c r="H1328" s="23"/>
      <c r="I1328" s="41">
        <v>509</v>
      </c>
      <c r="J1328" s="41">
        <v>596</v>
      </c>
      <c r="K1328" s="118"/>
      <c r="L1328" s="119"/>
      <c r="M1328" s="110">
        <f>IF(L1328="",I1328,(MIN(J1328,(L1328*1.6*J1328))))</f>
        <v>509</v>
      </c>
      <c r="N1328" s="111">
        <f>IF(M1328=0,0,(M1328/J1328))</f>
        <v>0.85402684563758391</v>
      </c>
    </row>
    <row r="1329" spans="2:14">
      <c r="B1329" s="72">
        <v>127825</v>
      </c>
      <c r="C1329" s="47" t="s">
        <v>2034</v>
      </c>
      <c r="D1329" s="123">
        <f>SUMIF(B$3:B$3844,B1329,M$3:M$3844)/(SUMIF(B$3:B$3844,B1329,J$3:J$3844))</f>
        <v>0.7605964826971392</v>
      </c>
      <c r="E1329" s="47">
        <v>38093</v>
      </c>
      <c r="F1329" s="48" t="s">
        <v>2048</v>
      </c>
      <c r="G1329" s="47"/>
      <c r="H1329" s="47"/>
      <c r="I1329" s="40">
        <v>435</v>
      </c>
      <c r="J1329" s="40">
        <v>520</v>
      </c>
      <c r="K1329" s="118"/>
      <c r="L1329" s="119"/>
      <c r="M1329" s="110">
        <f>IF(L1329="",I1329,(MIN(J1329,(L1329*1.6*J1329))))</f>
        <v>435</v>
      </c>
      <c r="N1329" s="111">
        <f>IF(M1329=0,0,(M1329/J1329))</f>
        <v>0.83653846153846156</v>
      </c>
    </row>
    <row r="1330" spans="2:14">
      <c r="B1330" s="73">
        <v>127825</v>
      </c>
      <c r="C1330" s="23" t="s">
        <v>2034</v>
      </c>
      <c r="D1330" s="123">
        <f>SUMIF(B$3:B$3844,B1330,M$3:M$3844)/(SUMIF(B$3:B$3844,B1330,J$3:J$3844))</f>
        <v>0.7605964826971392</v>
      </c>
      <c r="E1330" s="23">
        <v>38165</v>
      </c>
      <c r="F1330" s="46" t="s">
        <v>2049</v>
      </c>
      <c r="G1330" s="23"/>
      <c r="H1330" s="23"/>
      <c r="I1330" s="41">
        <v>1027</v>
      </c>
      <c r="J1330" s="41">
        <v>1604</v>
      </c>
      <c r="K1330" s="118"/>
      <c r="L1330" s="119"/>
      <c r="M1330" s="110">
        <f>IF(L1330="",I1330,(MIN(J1330,(L1330*1.6*J1330))))</f>
        <v>1027</v>
      </c>
      <c r="N1330" s="111">
        <f>IF(M1330=0,0,(M1330/J1330))</f>
        <v>0.64027431421446379</v>
      </c>
    </row>
    <row r="1331" spans="2:14">
      <c r="B1331" s="72">
        <v>127825</v>
      </c>
      <c r="C1331" s="47" t="s">
        <v>2034</v>
      </c>
      <c r="D1331" s="123">
        <f>SUMIF(B$3:B$3844,B1331,M$3:M$3844)/(SUMIF(B$3:B$3844,B1331,J$3:J$3844))</f>
        <v>0.7605964826971392</v>
      </c>
      <c r="E1331" s="47">
        <v>38163</v>
      </c>
      <c r="F1331" s="48" t="s">
        <v>2050</v>
      </c>
      <c r="G1331" s="47"/>
      <c r="H1331" s="47"/>
      <c r="I1331" s="40">
        <v>529</v>
      </c>
      <c r="J1331" s="40">
        <v>763</v>
      </c>
      <c r="K1331" s="118"/>
      <c r="L1331" s="119"/>
      <c r="M1331" s="110">
        <f>IF(L1331="",I1331,(MIN(J1331,(L1331*1.6*J1331))))</f>
        <v>529</v>
      </c>
      <c r="N1331" s="111">
        <f>IF(M1331=0,0,(M1331/J1331))</f>
        <v>0.6933158584534731</v>
      </c>
    </row>
    <row r="1332" spans="2:14">
      <c r="B1332" s="73">
        <v>127825</v>
      </c>
      <c r="C1332" s="23" t="s">
        <v>2034</v>
      </c>
      <c r="D1332" s="123">
        <f>SUMIF(B$3:B$3844,B1332,M$3:M$3844)/(SUMIF(B$3:B$3844,B1332,J$3:J$3844))</f>
        <v>0.7605964826971392</v>
      </c>
      <c r="E1332" s="23">
        <v>38166</v>
      </c>
      <c r="F1332" s="46" t="s">
        <v>2051</v>
      </c>
      <c r="G1332" s="23"/>
      <c r="H1332" s="23"/>
      <c r="I1332" s="41">
        <v>582</v>
      </c>
      <c r="J1332" s="41">
        <v>767</v>
      </c>
      <c r="K1332" s="118"/>
      <c r="L1332" s="119"/>
      <c r="M1332" s="110">
        <f>IF(L1332="",I1332,(MIN(J1332,(L1332*1.6*J1332))))</f>
        <v>582</v>
      </c>
      <c r="N1332" s="111">
        <f>IF(M1332=0,0,(M1332/J1332))</f>
        <v>0.75880052151238597</v>
      </c>
    </row>
    <row r="1333" spans="2:14">
      <c r="B1333" s="72">
        <v>127825</v>
      </c>
      <c r="C1333" s="47" t="s">
        <v>2034</v>
      </c>
      <c r="D1333" s="123">
        <f>SUMIF(B$3:B$3844,B1333,M$3:M$3844)/(SUMIF(B$3:B$3844,B1333,J$3:J$3844))</f>
        <v>0.7605964826971392</v>
      </c>
      <c r="E1333" s="47">
        <v>205818</v>
      </c>
      <c r="F1333" s="48" t="s">
        <v>2052</v>
      </c>
      <c r="G1333" s="47"/>
      <c r="H1333" s="47"/>
      <c r="I1333" s="40">
        <v>10</v>
      </c>
      <c r="J1333" s="40">
        <v>10</v>
      </c>
      <c r="K1333" s="118"/>
      <c r="L1333" s="119"/>
      <c r="M1333" s="110">
        <f>IF(L1333="",I1333,(MIN(J1333,(L1333*1.6*J1333))))</f>
        <v>10</v>
      </c>
      <c r="N1333" s="111">
        <f>IF(M1333=0,0,(M1333/J1333))</f>
        <v>1</v>
      </c>
    </row>
    <row r="1334" spans="2:14">
      <c r="B1334" s="73">
        <v>127825</v>
      </c>
      <c r="C1334" s="23" t="s">
        <v>2034</v>
      </c>
      <c r="D1334" s="123">
        <f>SUMIF(B$3:B$3844,B1334,M$3:M$3844)/(SUMIF(B$3:B$3844,B1334,J$3:J$3844))</f>
        <v>0.7605964826971392</v>
      </c>
      <c r="E1334" s="23">
        <v>16039424</v>
      </c>
      <c r="F1334" s="46" t="s">
        <v>2053</v>
      </c>
      <c r="G1334" s="23"/>
      <c r="H1334" s="23"/>
      <c r="I1334" s="41">
        <v>265</v>
      </c>
      <c r="J1334" s="41">
        <v>339</v>
      </c>
      <c r="K1334" s="118"/>
      <c r="L1334" s="119"/>
      <c r="M1334" s="110">
        <f>IF(L1334="",I1334,(MIN(J1334,(L1334*1.6*J1334))))</f>
        <v>265</v>
      </c>
      <c r="N1334" s="111">
        <f>IF(M1334=0,0,(M1334/J1334))</f>
        <v>0.78171091445427732</v>
      </c>
    </row>
    <row r="1335" spans="2:14">
      <c r="B1335" s="72">
        <v>127825</v>
      </c>
      <c r="C1335" s="47" t="s">
        <v>2034</v>
      </c>
      <c r="D1335" s="123">
        <f>SUMIF(B$3:B$3844,B1335,M$3:M$3844)/(SUMIF(B$3:B$3844,B1335,J$3:J$3844))</f>
        <v>0.7605964826971392</v>
      </c>
      <c r="E1335" s="47">
        <v>38162</v>
      </c>
      <c r="F1335" s="48" t="s">
        <v>2054</v>
      </c>
      <c r="G1335" s="47"/>
      <c r="H1335" s="47"/>
      <c r="I1335" s="40">
        <v>449</v>
      </c>
      <c r="J1335" s="40">
        <v>567</v>
      </c>
      <c r="K1335" s="118"/>
      <c r="L1335" s="119"/>
      <c r="M1335" s="110">
        <f>IF(L1335="",I1335,(MIN(J1335,(L1335*1.6*J1335))))</f>
        <v>449</v>
      </c>
      <c r="N1335" s="111">
        <f>IF(M1335=0,0,(M1335/J1335))</f>
        <v>0.79188712522045857</v>
      </c>
    </row>
    <row r="1336" spans="2:14">
      <c r="B1336" s="120">
        <v>127779</v>
      </c>
      <c r="C1336" s="121" t="s">
        <v>2705</v>
      </c>
      <c r="D1336" s="109">
        <f>SUMIF(B$3:B$3844,B1336,M$3:M$3844)/(SUMIF(B$3:B$3844,B1336,J$3:J$3844))</f>
        <v>1</v>
      </c>
      <c r="E1336" s="122">
        <v>37739</v>
      </c>
      <c r="F1336" s="128" t="s">
        <v>2477</v>
      </c>
      <c r="G1336" s="128"/>
      <c r="H1336" s="117"/>
      <c r="I1336" s="129">
        <v>749</v>
      </c>
      <c r="J1336" s="130">
        <v>897</v>
      </c>
      <c r="K1336" s="118"/>
      <c r="L1336" s="119"/>
      <c r="M1336" s="110">
        <f>IF(L1336="",J1336,(MIN(#REF!,(L1336*1.6*#REF!))))</f>
        <v>897</v>
      </c>
      <c r="N1336" s="111" t="e">
        <f>IF(M1336=0,0,(M1336/#REF!))</f>
        <v>#REF!</v>
      </c>
    </row>
    <row r="1337" spans="2:14">
      <c r="B1337" s="120">
        <v>127779</v>
      </c>
      <c r="C1337" s="121" t="s">
        <v>2705</v>
      </c>
      <c r="D1337" s="109">
        <f>SUMIF(B$3:B$3844,B1337,M$3:M$3844)/(SUMIF(B$3:B$3844,B1337,J$3:J$3844))</f>
        <v>1</v>
      </c>
      <c r="E1337" s="122">
        <v>37738</v>
      </c>
      <c r="F1337" s="128" t="s">
        <v>2478</v>
      </c>
      <c r="G1337" s="128"/>
      <c r="H1337" s="117"/>
      <c r="I1337" s="129">
        <v>984</v>
      </c>
      <c r="J1337" s="130">
        <v>1067</v>
      </c>
      <c r="K1337" s="118"/>
      <c r="L1337" s="119"/>
      <c r="M1337" s="110">
        <f>IF(L1337="",J1337,(MIN(#REF!,(L1337*1.6*#REF!))))</f>
        <v>1067</v>
      </c>
      <c r="N1337" s="111" t="e">
        <f>IF(M1337=0,0,(M1337/#REF!))</f>
        <v>#REF!</v>
      </c>
    </row>
    <row r="1338" spans="2:14">
      <c r="B1338" s="120">
        <v>127779</v>
      </c>
      <c r="C1338" s="121" t="s">
        <v>2705</v>
      </c>
      <c r="D1338" s="109">
        <f>SUMIF(B$3:B$3844,B1338,M$3:M$3844)/(SUMIF(B$3:B$3844,B1338,J$3:J$3844))</f>
        <v>1</v>
      </c>
      <c r="E1338" s="122">
        <v>16037427</v>
      </c>
      <c r="F1338" s="128" t="s">
        <v>2479</v>
      </c>
      <c r="G1338" s="128"/>
      <c r="H1338" s="117"/>
      <c r="I1338" s="129">
        <v>1202</v>
      </c>
      <c r="J1338" s="130">
        <v>1624</v>
      </c>
      <c r="K1338" s="118"/>
      <c r="L1338" s="119"/>
      <c r="M1338" s="110">
        <f>IF(L1338="",J1338,(MIN(#REF!,(L1338*1.6*#REF!))))</f>
        <v>1624</v>
      </c>
      <c r="N1338" s="111" t="e">
        <f>IF(M1338=0,0,(M1338/#REF!))</f>
        <v>#REF!</v>
      </c>
    </row>
    <row r="1339" spans="2:14">
      <c r="B1339" s="120">
        <v>127779</v>
      </c>
      <c r="C1339" s="121" t="s">
        <v>2705</v>
      </c>
      <c r="D1339" s="109">
        <f>SUMIF(B$3:B$3844,B1339,M$3:M$3844)/(SUMIF(B$3:B$3844,B1339,J$3:J$3844))</f>
        <v>1</v>
      </c>
      <c r="E1339" s="122">
        <v>16022196</v>
      </c>
      <c r="F1339" s="128" t="s">
        <v>2480</v>
      </c>
      <c r="G1339" s="128"/>
      <c r="H1339" s="117"/>
      <c r="I1339" s="129">
        <v>431</v>
      </c>
      <c r="J1339" s="130">
        <v>459</v>
      </c>
      <c r="K1339" s="118"/>
      <c r="L1339" s="119"/>
      <c r="M1339" s="110">
        <f>IF(L1339="",J1339,(MIN(#REF!,(L1339*1.6*#REF!))))</f>
        <v>459</v>
      </c>
      <c r="N1339" s="111" t="e">
        <f>IF(M1339=0,0,(M1339/#REF!))</f>
        <v>#REF!</v>
      </c>
    </row>
    <row r="1340" spans="2:14">
      <c r="B1340" s="120">
        <v>127779</v>
      </c>
      <c r="C1340" s="121" t="s">
        <v>2705</v>
      </c>
      <c r="D1340" s="109">
        <f>SUMIF(B$3:B$3844,B1340,M$3:M$3844)/(SUMIF(B$3:B$3844,B1340,J$3:J$3844))</f>
        <v>1</v>
      </c>
      <c r="E1340" s="122">
        <v>16031652</v>
      </c>
      <c r="F1340" s="128" t="s">
        <v>2481</v>
      </c>
      <c r="G1340" s="128"/>
      <c r="H1340" s="117"/>
      <c r="I1340" s="129">
        <v>753</v>
      </c>
      <c r="J1340" s="130">
        <v>878</v>
      </c>
      <c r="K1340" s="118"/>
      <c r="L1340" s="119"/>
      <c r="M1340" s="110">
        <f>IF(L1340="",J1340,(MIN(#REF!,(L1340*1.6*#REF!))))</f>
        <v>878</v>
      </c>
      <c r="N1340" s="111" t="e">
        <f>IF(M1340=0,0,(M1340/#REF!))</f>
        <v>#REF!</v>
      </c>
    </row>
    <row r="1341" spans="2:14">
      <c r="B1341" s="120">
        <v>127779</v>
      </c>
      <c r="C1341" s="121" t="s">
        <v>2705</v>
      </c>
      <c r="D1341" s="109">
        <f>SUMIF(B$3:B$3844,B1341,M$3:M$3844)/(SUMIF(B$3:B$3844,B1341,J$3:J$3844))</f>
        <v>1</v>
      </c>
      <c r="E1341" s="122">
        <v>16022191</v>
      </c>
      <c r="F1341" s="128" t="s">
        <v>2482</v>
      </c>
      <c r="G1341" s="128"/>
      <c r="H1341" s="117"/>
      <c r="I1341" s="129">
        <v>562</v>
      </c>
      <c r="J1341" s="130">
        <v>768</v>
      </c>
      <c r="K1341" s="118"/>
      <c r="L1341" s="119"/>
      <c r="M1341" s="110">
        <f>IF(L1341="",J1341,(MIN(#REF!,(L1341*1.6*#REF!))))</f>
        <v>768</v>
      </c>
      <c r="N1341" s="111" t="e">
        <f>IF(M1341=0,0,(M1341/#REF!))</f>
        <v>#REF!</v>
      </c>
    </row>
    <row r="1342" spans="2:14">
      <c r="B1342" s="120">
        <v>127779</v>
      </c>
      <c r="C1342" s="121" t="s">
        <v>2705</v>
      </c>
      <c r="D1342" s="109">
        <f>SUMIF(B$3:B$3844,B1342,M$3:M$3844)/(SUMIF(B$3:B$3844,B1342,J$3:J$3844))</f>
        <v>1</v>
      </c>
      <c r="E1342" s="122">
        <v>16022197</v>
      </c>
      <c r="F1342" s="128" t="s">
        <v>2483</v>
      </c>
      <c r="G1342" s="128"/>
      <c r="H1342" s="117"/>
      <c r="I1342" s="129">
        <v>1188</v>
      </c>
      <c r="J1342" s="130">
        <v>1368</v>
      </c>
      <c r="K1342" s="118"/>
      <c r="L1342" s="119"/>
      <c r="M1342" s="110">
        <f>IF(L1342="",J1342,(MIN(#REF!,(L1342*1.6*#REF!))))</f>
        <v>1368</v>
      </c>
      <c r="N1342" s="111" t="e">
        <f>IF(M1342=0,0,(M1342/#REF!))</f>
        <v>#REF!</v>
      </c>
    </row>
    <row r="1343" spans="2:14">
      <c r="B1343" s="120">
        <v>127779</v>
      </c>
      <c r="C1343" s="121" t="s">
        <v>2705</v>
      </c>
      <c r="D1343" s="109">
        <f>SUMIF(B$3:B$3844,B1343,M$3:M$3844)/(SUMIF(B$3:B$3844,B1343,J$3:J$3844))</f>
        <v>1</v>
      </c>
      <c r="E1343" s="122">
        <v>16022192</v>
      </c>
      <c r="F1343" s="128" t="s">
        <v>2484</v>
      </c>
      <c r="G1343" s="128"/>
      <c r="H1343" s="117"/>
      <c r="I1343" s="129">
        <v>688</v>
      </c>
      <c r="J1343" s="130">
        <v>797</v>
      </c>
      <c r="K1343" s="118"/>
      <c r="L1343" s="119"/>
      <c r="M1343" s="110">
        <f>IF(L1343="",J1343,(MIN(#REF!,(L1343*1.6*#REF!))))</f>
        <v>797</v>
      </c>
      <c r="N1343" s="111" t="e">
        <f>IF(M1343=0,0,(M1343/#REF!))</f>
        <v>#REF!</v>
      </c>
    </row>
    <row r="1344" spans="2:14">
      <c r="B1344" s="120">
        <v>127779</v>
      </c>
      <c r="C1344" s="121" t="s">
        <v>2705</v>
      </c>
      <c r="D1344" s="109">
        <f>SUMIF(B$3:B$3844,B1344,M$3:M$3844)/(SUMIF(B$3:B$3844,B1344,J$3:J$3844))</f>
        <v>1</v>
      </c>
      <c r="E1344" s="122">
        <v>16022193</v>
      </c>
      <c r="F1344" s="128" t="s">
        <v>2485</v>
      </c>
      <c r="G1344" s="128"/>
      <c r="H1344" s="117"/>
      <c r="I1344" s="129">
        <v>118</v>
      </c>
      <c r="J1344" s="130">
        <v>956</v>
      </c>
      <c r="K1344" s="118"/>
      <c r="L1344" s="119"/>
      <c r="M1344" s="110">
        <f>IF(L1344="",J1344,(MIN(#REF!,(L1344*1.6*#REF!))))</f>
        <v>956</v>
      </c>
      <c r="N1344" s="111" t="e">
        <f>IF(M1344=0,0,(M1344/#REF!))</f>
        <v>#REF!</v>
      </c>
    </row>
    <row r="1345" spans="2:14">
      <c r="B1345" s="120">
        <v>127779</v>
      </c>
      <c r="C1345" s="121" t="s">
        <v>2705</v>
      </c>
      <c r="D1345" s="109">
        <f>SUMIF(B$3:B$3844,B1345,M$3:M$3844)/(SUMIF(B$3:B$3844,B1345,J$3:J$3844))</f>
        <v>1</v>
      </c>
      <c r="E1345" s="122">
        <v>16022194</v>
      </c>
      <c r="F1345" s="128" t="s">
        <v>2486</v>
      </c>
      <c r="G1345" s="128"/>
      <c r="H1345" s="117"/>
      <c r="I1345" s="129">
        <v>129</v>
      </c>
      <c r="J1345" s="130">
        <v>369</v>
      </c>
      <c r="K1345" s="118"/>
      <c r="L1345" s="119"/>
      <c r="M1345" s="110">
        <f>IF(L1345="",J1345,(MIN(#REF!,(L1345*1.6*#REF!))))</f>
        <v>369</v>
      </c>
      <c r="N1345" s="111" t="e">
        <f>IF(M1345=0,0,(M1345/#REF!))</f>
        <v>#REF!</v>
      </c>
    </row>
    <row r="1346" spans="2:14">
      <c r="B1346" s="120">
        <v>127779</v>
      </c>
      <c r="C1346" s="121" t="s">
        <v>2705</v>
      </c>
      <c r="D1346" s="109">
        <f>SUMIF(B$3:B$3844,B1346,M$3:M$3844)/(SUMIF(B$3:B$3844,B1346,J$3:J$3844))</f>
        <v>1</v>
      </c>
      <c r="E1346" s="122">
        <v>213178</v>
      </c>
      <c r="F1346" s="128" t="s">
        <v>2487</v>
      </c>
      <c r="G1346" s="128"/>
      <c r="H1346" s="117"/>
      <c r="I1346" s="129">
        <v>59</v>
      </c>
      <c r="J1346" s="130">
        <v>61</v>
      </c>
      <c r="K1346" s="118"/>
      <c r="L1346" s="119"/>
      <c r="M1346" s="110">
        <f>IF(L1346="",J1346,(MIN(#REF!,(L1346*1.6*#REF!))))</f>
        <v>61</v>
      </c>
      <c r="N1346" s="111" t="e">
        <f>IF(M1346=0,0,(M1346/#REF!))</f>
        <v>#REF!</v>
      </c>
    </row>
    <row r="1347" spans="2:14">
      <c r="B1347" s="120">
        <v>127779</v>
      </c>
      <c r="C1347" s="121" t="s">
        <v>2705</v>
      </c>
      <c r="D1347" s="109">
        <f>SUMIF(B$3:B$3844,B1347,M$3:M$3844)/(SUMIF(B$3:B$3844,B1347,J$3:J$3844))</f>
        <v>1</v>
      </c>
      <c r="E1347" s="122">
        <v>16031648</v>
      </c>
      <c r="F1347" s="128" t="s">
        <v>2488</v>
      </c>
      <c r="G1347" s="128"/>
      <c r="H1347" s="117"/>
      <c r="I1347" s="129">
        <v>424</v>
      </c>
      <c r="J1347" s="130">
        <v>1071</v>
      </c>
      <c r="K1347" s="118"/>
      <c r="L1347" s="119"/>
      <c r="M1347" s="110">
        <f>IF(L1347="",J1347,(MIN(#REF!,(L1347*1.6*#REF!))))</f>
        <v>1071</v>
      </c>
      <c r="N1347" s="111" t="e">
        <f>IF(M1347=0,0,(M1347/#REF!))</f>
        <v>#REF!</v>
      </c>
    </row>
    <row r="1348" spans="2:14">
      <c r="B1348" s="120">
        <v>127779</v>
      </c>
      <c r="C1348" s="121" t="s">
        <v>2705</v>
      </c>
      <c r="D1348" s="109">
        <f>SUMIF(B$3:B$3844,B1348,M$3:M$3844)/(SUMIF(B$3:B$3844,B1348,J$3:J$3844))</f>
        <v>1</v>
      </c>
      <c r="E1348" s="122">
        <v>16031653</v>
      </c>
      <c r="F1348" s="128" t="s">
        <v>2489</v>
      </c>
      <c r="G1348" s="128"/>
      <c r="H1348" s="117"/>
      <c r="I1348" s="129">
        <v>690</v>
      </c>
      <c r="J1348" s="130">
        <v>1877</v>
      </c>
      <c r="K1348" s="118"/>
      <c r="L1348" s="119"/>
      <c r="M1348" s="110">
        <f>IF(L1348="",J1348,(MIN(#REF!,(L1348*1.6*#REF!))))</f>
        <v>1877</v>
      </c>
      <c r="N1348" s="111" t="e">
        <f>IF(M1348=0,0,(M1348/#REF!))</f>
        <v>#REF!</v>
      </c>
    </row>
    <row r="1349" spans="2:14">
      <c r="B1349" s="120">
        <v>127779</v>
      </c>
      <c r="C1349" s="121" t="s">
        <v>2705</v>
      </c>
      <c r="D1349" s="109">
        <f>SUMIF(B$3:B$3844,B1349,M$3:M$3844)/(SUMIF(B$3:B$3844,B1349,J$3:J$3844))</f>
        <v>1</v>
      </c>
      <c r="E1349" s="122">
        <v>16031649</v>
      </c>
      <c r="F1349" s="128" t="s">
        <v>2490</v>
      </c>
      <c r="G1349" s="128"/>
      <c r="H1349" s="117"/>
      <c r="I1349" s="129">
        <v>443</v>
      </c>
      <c r="J1349" s="130">
        <v>580</v>
      </c>
      <c r="K1349" s="118"/>
      <c r="L1349" s="119"/>
      <c r="M1349" s="110">
        <f>IF(L1349="",J1349,(MIN(#REF!,(L1349*1.6*#REF!))))</f>
        <v>580</v>
      </c>
      <c r="N1349" s="111" t="e">
        <f>IF(M1349=0,0,(M1349/#REF!))</f>
        <v>#REF!</v>
      </c>
    </row>
    <row r="1350" spans="2:14">
      <c r="B1350" s="120">
        <v>127779</v>
      </c>
      <c r="C1350" s="121" t="s">
        <v>2705</v>
      </c>
      <c r="D1350" s="109">
        <f>SUMIF(B$3:B$3844,B1350,M$3:M$3844)/(SUMIF(B$3:B$3844,B1350,J$3:J$3844))</f>
        <v>1</v>
      </c>
      <c r="E1350" s="122">
        <v>16037424</v>
      </c>
      <c r="F1350" s="128" t="s">
        <v>2491</v>
      </c>
      <c r="G1350" s="128"/>
      <c r="H1350" s="117"/>
      <c r="I1350" s="129">
        <v>381</v>
      </c>
      <c r="J1350" s="130">
        <v>845</v>
      </c>
      <c r="K1350" s="118"/>
      <c r="L1350" s="119"/>
      <c r="M1350" s="110">
        <f>IF(L1350="",J1350,(MIN(#REF!,(L1350*1.6*#REF!))))</f>
        <v>845</v>
      </c>
      <c r="N1350" s="111" t="e">
        <f>IF(M1350=0,0,(M1350/#REF!))</f>
        <v>#REF!</v>
      </c>
    </row>
    <row r="1351" spans="2:14">
      <c r="B1351" s="120">
        <v>127779</v>
      </c>
      <c r="C1351" s="121" t="s">
        <v>2705</v>
      </c>
      <c r="D1351" s="109">
        <f>SUMIF(B$3:B$3844,B1351,M$3:M$3844)/(SUMIF(B$3:B$3844,B1351,J$3:J$3844))</f>
        <v>1</v>
      </c>
      <c r="E1351" s="122">
        <v>16037425</v>
      </c>
      <c r="F1351" s="128" t="s">
        <v>2492</v>
      </c>
      <c r="G1351" s="128"/>
      <c r="H1351" s="117"/>
      <c r="I1351" s="129">
        <v>1641</v>
      </c>
      <c r="J1351" s="130">
        <v>2387</v>
      </c>
      <c r="K1351" s="118"/>
      <c r="L1351" s="119"/>
      <c r="M1351" s="110">
        <f>IF(L1351="",J1351,(MIN(#REF!,(L1351*1.6*#REF!))))</f>
        <v>2387</v>
      </c>
      <c r="N1351" s="111" t="e">
        <f>IF(M1351=0,0,(M1351/#REF!))</f>
        <v>#REF!</v>
      </c>
    </row>
    <row r="1352" spans="2:14">
      <c r="B1352" s="120">
        <v>127779</v>
      </c>
      <c r="C1352" s="121" t="s">
        <v>2705</v>
      </c>
      <c r="D1352" s="109">
        <f>SUMIF(B$3:B$3844,B1352,M$3:M$3844)/(SUMIF(B$3:B$3844,B1352,J$3:J$3844))</f>
        <v>1</v>
      </c>
      <c r="E1352" s="122">
        <v>16052484</v>
      </c>
      <c r="F1352" s="128" t="s">
        <v>2493</v>
      </c>
      <c r="G1352" s="128"/>
      <c r="H1352" s="117"/>
      <c r="I1352" s="129">
        <v>551</v>
      </c>
      <c r="J1352" s="130">
        <v>804</v>
      </c>
      <c r="K1352" s="118"/>
      <c r="L1352" s="119"/>
      <c r="M1352" s="110">
        <f>IF(L1352="",J1352,(MIN(#REF!,(L1352*1.6*#REF!))))</f>
        <v>804</v>
      </c>
      <c r="N1352" s="111" t="e">
        <f>IF(M1352=0,0,(M1352/#REF!))</f>
        <v>#REF!</v>
      </c>
    </row>
    <row r="1353" spans="2:14">
      <c r="B1353" s="120">
        <v>127779</v>
      </c>
      <c r="C1353" s="121" t="s">
        <v>2705</v>
      </c>
      <c r="D1353" s="109">
        <f>SUMIF(B$3:B$3844,B1353,M$3:M$3844)/(SUMIF(B$3:B$3844,B1353,J$3:J$3844))</f>
        <v>1</v>
      </c>
      <c r="E1353" s="122">
        <v>37753</v>
      </c>
      <c r="F1353" s="128" t="s">
        <v>2494</v>
      </c>
      <c r="G1353" s="128"/>
      <c r="H1353" s="117"/>
      <c r="I1353" s="129">
        <v>551</v>
      </c>
      <c r="J1353" s="130">
        <v>605</v>
      </c>
      <c r="K1353" s="118"/>
      <c r="L1353" s="119"/>
      <c r="M1353" s="110">
        <f>IF(L1353="",J1353,(MIN(#REF!,(L1353*1.6*#REF!))))</f>
        <v>605</v>
      </c>
      <c r="N1353" s="111" t="e">
        <f>IF(M1353=0,0,(M1353/#REF!))</f>
        <v>#REF!</v>
      </c>
    </row>
    <row r="1354" spans="2:14">
      <c r="B1354" s="120">
        <v>127779</v>
      </c>
      <c r="C1354" s="121" t="s">
        <v>2705</v>
      </c>
      <c r="D1354" s="109">
        <f>SUMIF(B$3:B$3844,B1354,M$3:M$3844)/(SUMIF(B$3:B$3844,B1354,J$3:J$3844))</f>
        <v>1</v>
      </c>
      <c r="E1354" s="122">
        <v>37752</v>
      </c>
      <c r="F1354" s="128" t="s">
        <v>2495</v>
      </c>
      <c r="G1354" s="128"/>
      <c r="H1354" s="117"/>
      <c r="I1354" s="129">
        <v>816</v>
      </c>
      <c r="J1354" s="130">
        <v>909</v>
      </c>
      <c r="K1354" s="118"/>
      <c r="L1354" s="119"/>
      <c r="M1354" s="110">
        <f>IF(L1354="",J1354,(MIN(#REF!,(L1354*1.6*#REF!))))</f>
        <v>909</v>
      </c>
      <c r="N1354" s="111" t="e">
        <f>IF(M1354=0,0,(M1354/#REF!))</f>
        <v>#REF!</v>
      </c>
    </row>
    <row r="1355" spans="2:14">
      <c r="B1355" s="120">
        <v>127779</v>
      </c>
      <c r="C1355" s="121" t="s">
        <v>2705</v>
      </c>
      <c r="D1355" s="109">
        <f>SUMIF(B$3:B$3844,B1355,M$3:M$3844)/(SUMIF(B$3:B$3844,B1355,J$3:J$3844))</f>
        <v>1</v>
      </c>
      <c r="E1355" s="122">
        <v>16046873</v>
      </c>
      <c r="F1355" s="128" t="s">
        <v>2496</v>
      </c>
      <c r="G1355" s="128"/>
      <c r="H1355" s="117"/>
      <c r="I1355" s="129">
        <v>575</v>
      </c>
      <c r="J1355" s="130">
        <v>960</v>
      </c>
      <c r="K1355" s="118"/>
      <c r="L1355" s="119"/>
      <c r="M1355" s="110">
        <f>IF(L1355="",J1355,(MIN(#REF!,(L1355*1.6*#REF!))))</f>
        <v>960</v>
      </c>
      <c r="N1355" s="111" t="e">
        <f>IF(M1355=0,0,(M1355/#REF!))</f>
        <v>#REF!</v>
      </c>
    </row>
    <row r="1356" spans="2:14">
      <c r="B1356" s="120">
        <v>127779</v>
      </c>
      <c r="C1356" s="121" t="s">
        <v>2705</v>
      </c>
      <c r="D1356" s="109">
        <f>SUMIF(B$3:B$3844,B1356,M$3:M$3844)/(SUMIF(B$3:B$3844,B1356,J$3:J$3844))</f>
        <v>1</v>
      </c>
      <c r="E1356" s="122">
        <v>16053859</v>
      </c>
      <c r="F1356" s="128" t="s">
        <v>2497</v>
      </c>
      <c r="G1356" s="128"/>
      <c r="H1356" s="117"/>
      <c r="I1356" s="129">
        <v>263</v>
      </c>
      <c r="J1356" s="130">
        <v>1058</v>
      </c>
      <c r="K1356" s="118"/>
      <c r="L1356" s="119"/>
      <c r="M1356" s="110">
        <f>IF(L1356="",J1356,(MIN(#REF!,(L1356*1.6*#REF!))))</f>
        <v>1058</v>
      </c>
      <c r="N1356" s="111" t="e">
        <f>IF(M1356=0,0,(M1356/#REF!))</f>
        <v>#REF!</v>
      </c>
    </row>
    <row r="1357" spans="2:14">
      <c r="B1357" s="120">
        <v>127779</v>
      </c>
      <c r="C1357" s="121" t="s">
        <v>2705</v>
      </c>
      <c r="D1357" s="109">
        <f>SUMIF(B$3:B$3844,B1357,M$3:M$3844)/(SUMIF(B$3:B$3844,B1357,J$3:J$3844))</f>
        <v>1</v>
      </c>
      <c r="E1357" s="122">
        <v>16053860</v>
      </c>
      <c r="F1357" s="128" t="s">
        <v>2498</v>
      </c>
      <c r="G1357" s="128"/>
      <c r="H1357" s="117"/>
      <c r="I1357" s="129">
        <v>491</v>
      </c>
      <c r="J1357" s="130">
        <v>1334</v>
      </c>
      <c r="K1357" s="118"/>
      <c r="L1357" s="119"/>
      <c r="M1357" s="110">
        <f>IF(L1357="",J1357,(MIN(#REF!,(L1357*1.6*#REF!))))</f>
        <v>1334</v>
      </c>
      <c r="N1357" s="111" t="e">
        <f>IF(M1357=0,0,(M1357/#REF!))</f>
        <v>#REF!</v>
      </c>
    </row>
    <row r="1358" spans="2:14">
      <c r="B1358" s="120">
        <v>127779</v>
      </c>
      <c r="C1358" s="121" t="s">
        <v>2705</v>
      </c>
      <c r="D1358" s="109">
        <f>SUMIF(B$3:B$3844,B1358,M$3:M$3844)/(SUMIF(B$3:B$3844,B1358,J$3:J$3844))</f>
        <v>1</v>
      </c>
      <c r="E1358" s="122">
        <v>16053850</v>
      </c>
      <c r="F1358" s="128" t="s">
        <v>2499</v>
      </c>
      <c r="G1358" s="128"/>
      <c r="H1358" s="117"/>
      <c r="I1358" s="129">
        <v>500</v>
      </c>
      <c r="J1358" s="130">
        <v>2358</v>
      </c>
      <c r="K1358" s="118"/>
      <c r="L1358" s="119"/>
      <c r="M1358" s="110">
        <f>IF(L1358="",J1358,(MIN(#REF!,(L1358*1.6*#REF!))))</f>
        <v>2358</v>
      </c>
      <c r="N1358" s="111" t="e">
        <f>IF(M1358=0,0,(M1358/#REF!))</f>
        <v>#REF!</v>
      </c>
    </row>
    <row r="1359" spans="2:14">
      <c r="B1359" s="120">
        <v>127779</v>
      </c>
      <c r="C1359" s="121" t="s">
        <v>2705</v>
      </c>
      <c r="D1359" s="109">
        <f>SUMIF(B$3:B$3844,B1359,M$3:M$3844)/(SUMIF(B$3:B$3844,B1359,J$3:J$3844))</f>
        <v>1</v>
      </c>
      <c r="E1359" s="122">
        <v>16053856</v>
      </c>
      <c r="F1359" s="128" t="s">
        <v>2500</v>
      </c>
      <c r="G1359" s="128"/>
      <c r="H1359" s="117"/>
      <c r="I1359" s="129">
        <v>536</v>
      </c>
      <c r="J1359" s="130">
        <v>759</v>
      </c>
      <c r="K1359" s="118"/>
      <c r="L1359" s="119"/>
      <c r="M1359" s="110">
        <f>IF(L1359="",J1359,(MIN(#REF!,(L1359*1.6*#REF!))))</f>
        <v>759</v>
      </c>
      <c r="N1359" s="111" t="e">
        <f>IF(M1359=0,0,(M1359/#REF!))</f>
        <v>#REF!</v>
      </c>
    </row>
    <row r="1360" spans="2:14">
      <c r="B1360" s="120">
        <v>127779</v>
      </c>
      <c r="C1360" s="121" t="s">
        <v>2705</v>
      </c>
      <c r="D1360" s="109">
        <f>SUMIF(B$3:B$3844,B1360,M$3:M$3844)/(SUMIF(B$3:B$3844,B1360,J$3:J$3844))</f>
        <v>1</v>
      </c>
      <c r="E1360" s="122">
        <v>16053851</v>
      </c>
      <c r="F1360" s="128" t="s">
        <v>2501</v>
      </c>
      <c r="G1360" s="128"/>
      <c r="H1360" s="117"/>
      <c r="I1360" s="129">
        <v>1089</v>
      </c>
      <c r="J1360" s="130">
        <v>2288</v>
      </c>
      <c r="K1360" s="118"/>
      <c r="L1360" s="119"/>
      <c r="M1360" s="110">
        <f>IF(L1360="",J1360,(MIN(#REF!,(L1360*1.6*#REF!))))</f>
        <v>2288</v>
      </c>
      <c r="N1360" s="111" t="e">
        <f>IF(M1360=0,0,(M1360/#REF!))</f>
        <v>#REF!</v>
      </c>
    </row>
    <row r="1361" spans="2:14">
      <c r="B1361" s="120">
        <v>127779</v>
      </c>
      <c r="C1361" s="121" t="s">
        <v>2705</v>
      </c>
      <c r="D1361" s="109">
        <f>SUMIF(B$3:B$3844,B1361,M$3:M$3844)/(SUMIF(B$3:B$3844,B1361,J$3:J$3844))</f>
        <v>1</v>
      </c>
      <c r="E1361" s="122">
        <v>16042499</v>
      </c>
      <c r="F1361" s="128" t="s">
        <v>2502</v>
      </c>
      <c r="G1361" s="128"/>
      <c r="H1361" s="117"/>
      <c r="I1361" s="129">
        <v>246</v>
      </c>
      <c r="J1361" s="130">
        <v>933</v>
      </c>
      <c r="K1361" s="118"/>
      <c r="L1361" s="119"/>
      <c r="M1361" s="110">
        <f>IF(L1361="",J1361,(MIN(#REF!,(L1361*1.6*#REF!))))</f>
        <v>933</v>
      </c>
      <c r="N1361" s="111" t="e">
        <f>IF(M1361=0,0,(M1361/#REF!))</f>
        <v>#REF!</v>
      </c>
    </row>
    <row r="1362" spans="2:14">
      <c r="B1362" s="120">
        <v>127779</v>
      </c>
      <c r="C1362" s="121" t="s">
        <v>2705</v>
      </c>
      <c r="D1362" s="109">
        <f>SUMIF(B$3:B$3844,B1362,M$3:M$3844)/(SUMIF(B$3:B$3844,B1362,J$3:J$3844))</f>
        <v>1</v>
      </c>
      <c r="E1362" s="122">
        <v>16046871</v>
      </c>
      <c r="F1362" s="128" t="s">
        <v>2503</v>
      </c>
      <c r="G1362" s="128"/>
      <c r="H1362" s="117"/>
      <c r="I1362" s="129">
        <v>161</v>
      </c>
      <c r="J1362" s="130">
        <v>705</v>
      </c>
      <c r="K1362" s="118"/>
      <c r="L1362" s="119"/>
      <c r="M1362" s="110">
        <f>IF(L1362="",J1362,(MIN(#REF!,(L1362*1.6*#REF!))))</f>
        <v>705</v>
      </c>
      <c r="N1362" s="111" t="e">
        <f>IF(M1362=0,0,(M1362/#REF!))</f>
        <v>#REF!</v>
      </c>
    </row>
    <row r="1363" spans="2:14">
      <c r="B1363" s="120">
        <v>127779</v>
      </c>
      <c r="C1363" s="121" t="s">
        <v>2705</v>
      </c>
      <c r="D1363" s="109">
        <f>SUMIF(B$3:B$3844,B1363,M$3:M$3844)/(SUMIF(B$3:B$3844,B1363,J$3:J$3844))</f>
        <v>1</v>
      </c>
      <c r="E1363" s="122">
        <v>16052481</v>
      </c>
      <c r="F1363" s="128" t="s">
        <v>2504</v>
      </c>
      <c r="G1363" s="128"/>
      <c r="H1363" s="117"/>
      <c r="I1363" s="129">
        <v>783</v>
      </c>
      <c r="J1363" s="130">
        <v>839</v>
      </c>
      <c r="K1363" s="118"/>
      <c r="L1363" s="119"/>
      <c r="M1363" s="110">
        <f>IF(L1363="",J1363,(MIN(#REF!,(L1363*1.6*#REF!))))</f>
        <v>839</v>
      </c>
      <c r="N1363" s="111" t="e">
        <f>IF(M1363=0,0,(M1363/#REF!))</f>
        <v>#REF!</v>
      </c>
    </row>
    <row r="1364" spans="2:14">
      <c r="B1364" s="120">
        <v>127779</v>
      </c>
      <c r="C1364" s="121" t="s">
        <v>2705</v>
      </c>
      <c r="D1364" s="109">
        <f>SUMIF(B$3:B$3844,B1364,M$3:M$3844)/(SUMIF(B$3:B$3844,B1364,J$3:J$3844))</f>
        <v>1</v>
      </c>
      <c r="E1364" s="122">
        <v>16046872</v>
      </c>
      <c r="F1364" s="128" t="s">
        <v>2505</v>
      </c>
      <c r="G1364" s="128"/>
      <c r="H1364" s="117"/>
      <c r="I1364" s="129">
        <v>242</v>
      </c>
      <c r="J1364" s="130">
        <v>257</v>
      </c>
      <c r="K1364" s="118"/>
      <c r="L1364" s="119"/>
      <c r="M1364" s="110">
        <f>IF(L1364="",J1364,(MIN(#REF!,(L1364*1.6*#REF!))))</f>
        <v>257</v>
      </c>
      <c r="N1364" s="111" t="e">
        <f>IF(M1364=0,0,(M1364/#REF!))</f>
        <v>#REF!</v>
      </c>
    </row>
    <row r="1365" spans="2:14">
      <c r="B1365" s="120">
        <v>127779</v>
      </c>
      <c r="C1365" s="121" t="s">
        <v>2705</v>
      </c>
      <c r="D1365" s="109">
        <f>SUMIF(B$3:B$3844,B1365,M$3:M$3844)/(SUMIF(B$3:B$3844,B1365,J$3:J$3844))</f>
        <v>1</v>
      </c>
      <c r="E1365" s="122">
        <v>16052480</v>
      </c>
      <c r="F1365" s="128" t="s">
        <v>2506</v>
      </c>
      <c r="G1365" s="128"/>
      <c r="H1365" s="117"/>
      <c r="I1365" s="129">
        <v>524</v>
      </c>
      <c r="J1365" s="130">
        <v>551</v>
      </c>
      <c r="K1365" s="118"/>
      <c r="L1365" s="119"/>
      <c r="M1365" s="110">
        <f>IF(L1365="",J1365,(MIN(#REF!,(L1365*1.6*#REF!))))</f>
        <v>551</v>
      </c>
      <c r="N1365" s="111" t="e">
        <f>IF(M1365=0,0,(M1365/#REF!))</f>
        <v>#REF!</v>
      </c>
    </row>
    <row r="1366" spans="2:14">
      <c r="B1366" s="120">
        <v>127779</v>
      </c>
      <c r="C1366" s="121" t="s">
        <v>2705</v>
      </c>
      <c r="D1366" s="109">
        <f>SUMIF(B$3:B$3844,B1366,M$3:M$3844)/(SUMIF(B$3:B$3844,B1366,J$3:J$3844))</f>
        <v>1</v>
      </c>
      <c r="E1366" s="122">
        <v>37725</v>
      </c>
      <c r="F1366" s="128" t="s">
        <v>2507</v>
      </c>
      <c r="G1366" s="128"/>
      <c r="H1366" s="117"/>
      <c r="I1366" s="129">
        <v>215</v>
      </c>
      <c r="J1366" s="130">
        <v>384</v>
      </c>
      <c r="K1366" s="118"/>
      <c r="L1366" s="119"/>
      <c r="M1366" s="110">
        <f>IF(L1366="",J1366,(MIN(#REF!,(L1366*1.6*#REF!))))</f>
        <v>384</v>
      </c>
      <c r="N1366" s="111" t="e">
        <f>IF(M1366=0,0,(M1366/#REF!))</f>
        <v>#REF!</v>
      </c>
    </row>
    <row r="1367" spans="2:14">
      <c r="B1367" s="120">
        <v>127779</v>
      </c>
      <c r="C1367" s="121" t="s">
        <v>2705</v>
      </c>
      <c r="D1367" s="109">
        <f>SUMIF(B$3:B$3844,B1367,M$3:M$3844)/(SUMIF(B$3:B$3844,B1367,J$3:J$3844))</f>
        <v>1</v>
      </c>
      <c r="E1367" s="122">
        <v>16052482</v>
      </c>
      <c r="F1367" s="128" t="s">
        <v>2508</v>
      </c>
      <c r="G1367" s="128"/>
      <c r="H1367" s="117"/>
      <c r="I1367" s="129">
        <v>137</v>
      </c>
      <c r="J1367" s="130">
        <v>205</v>
      </c>
      <c r="K1367" s="118"/>
      <c r="L1367" s="119"/>
      <c r="M1367" s="110">
        <f>IF(L1367="",J1367,(MIN(#REF!,(L1367*1.6*#REF!))))</f>
        <v>205</v>
      </c>
      <c r="N1367" s="111" t="e">
        <f>IF(M1367=0,0,(M1367/#REF!))</f>
        <v>#REF!</v>
      </c>
    </row>
    <row r="1368" spans="2:14">
      <c r="B1368" s="120">
        <v>127779</v>
      </c>
      <c r="C1368" s="121" t="s">
        <v>2705</v>
      </c>
      <c r="D1368" s="109">
        <f>SUMIF(B$3:B$3844,B1368,M$3:M$3844)/(SUMIF(B$3:B$3844,B1368,J$3:J$3844))</f>
        <v>1</v>
      </c>
      <c r="E1368" s="122"/>
      <c r="F1368" s="128" t="s">
        <v>2509</v>
      </c>
      <c r="G1368" s="128"/>
      <c r="H1368" s="117"/>
      <c r="I1368" s="129">
        <v>102</v>
      </c>
      <c r="J1368" s="130">
        <v>102</v>
      </c>
      <c r="K1368" s="118"/>
      <c r="L1368" s="119"/>
      <c r="M1368" s="110">
        <f>IF(L1368="",J1368,(MIN(#REF!,(L1368*1.6*#REF!))))</f>
        <v>102</v>
      </c>
      <c r="N1368" s="111" t="e">
        <f>IF(M1368=0,0,(M1368/#REF!))</f>
        <v>#REF!</v>
      </c>
    </row>
    <row r="1369" spans="2:14">
      <c r="B1369" s="120">
        <v>127779</v>
      </c>
      <c r="C1369" s="121" t="s">
        <v>2705</v>
      </c>
      <c r="D1369" s="109">
        <f>SUMIF(B$3:B$3844,B1369,M$3:M$3844)/(SUMIF(B$3:B$3844,B1369,J$3:J$3844))</f>
        <v>1</v>
      </c>
      <c r="E1369" s="122">
        <v>16079076</v>
      </c>
      <c r="F1369" s="128" t="s">
        <v>2510</v>
      </c>
      <c r="G1369" s="128"/>
      <c r="H1369" s="117"/>
      <c r="I1369" s="129">
        <v>714</v>
      </c>
      <c r="J1369" s="130">
        <v>856</v>
      </c>
      <c r="K1369" s="118"/>
      <c r="L1369" s="119"/>
      <c r="M1369" s="110">
        <f>IF(L1369="",J1369,(MIN(#REF!,(L1369*1.6*#REF!))))</f>
        <v>856</v>
      </c>
      <c r="N1369" s="111" t="e">
        <f>IF(M1369=0,0,(M1369/#REF!))</f>
        <v>#REF!</v>
      </c>
    </row>
    <row r="1370" spans="2:14">
      <c r="B1370" s="120">
        <v>127779</v>
      </c>
      <c r="C1370" s="121" t="s">
        <v>2705</v>
      </c>
      <c r="D1370" s="109">
        <f>SUMIF(B$3:B$3844,B1370,M$3:M$3844)/(SUMIF(B$3:B$3844,B1370,J$3:J$3844))</f>
        <v>1</v>
      </c>
      <c r="E1370" s="122">
        <v>16082671</v>
      </c>
      <c r="F1370" s="128" t="s">
        <v>2511</v>
      </c>
      <c r="G1370" s="128"/>
      <c r="H1370" s="117"/>
      <c r="I1370" s="129">
        <v>525</v>
      </c>
      <c r="J1370" s="130">
        <v>625</v>
      </c>
      <c r="K1370" s="118"/>
      <c r="L1370" s="119"/>
      <c r="M1370" s="110">
        <f>IF(L1370="",J1370,(MIN(#REF!,(L1370*1.6*#REF!))))</f>
        <v>625</v>
      </c>
      <c r="N1370" s="111" t="e">
        <f>IF(M1370=0,0,(M1370/#REF!))</f>
        <v>#REF!</v>
      </c>
    </row>
    <row r="1371" spans="2:14">
      <c r="B1371" s="120">
        <v>127779</v>
      </c>
      <c r="C1371" s="121" t="s">
        <v>2705</v>
      </c>
      <c r="D1371" s="109">
        <f>SUMIF(B$3:B$3844,B1371,M$3:M$3844)/(SUMIF(B$3:B$3844,B1371,J$3:J$3844))</f>
        <v>1</v>
      </c>
      <c r="E1371" s="122">
        <v>37613</v>
      </c>
      <c r="F1371" s="128" t="s">
        <v>2512</v>
      </c>
      <c r="G1371" s="128"/>
      <c r="H1371" s="117"/>
      <c r="I1371" s="129">
        <v>1536</v>
      </c>
      <c r="J1371" s="130">
        <v>2075</v>
      </c>
      <c r="K1371" s="118"/>
      <c r="L1371" s="119"/>
      <c r="M1371" s="110">
        <f>IF(L1371="",J1371,(MIN(#REF!,(L1371*1.6*#REF!))))</f>
        <v>2075</v>
      </c>
      <c r="N1371" s="111" t="e">
        <f>IF(M1371=0,0,(M1371/#REF!))</f>
        <v>#REF!</v>
      </c>
    </row>
    <row r="1372" spans="2:14">
      <c r="B1372" s="120">
        <v>127779</v>
      </c>
      <c r="C1372" s="121" t="s">
        <v>2705</v>
      </c>
      <c r="D1372" s="109">
        <f>SUMIF(B$3:B$3844,B1372,M$3:M$3844)/(SUMIF(B$3:B$3844,B1372,J$3:J$3844))</f>
        <v>1</v>
      </c>
      <c r="E1372" s="122">
        <v>37606</v>
      </c>
      <c r="F1372" s="128" t="s">
        <v>2513</v>
      </c>
      <c r="G1372" s="128"/>
      <c r="H1372" s="117"/>
      <c r="I1372" s="129">
        <v>250</v>
      </c>
      <c r="J1372" s="130">
        <v>707</v>
      </c>
      <c r="K1372" s="118"/>
      <c r="L1372" s="119"/>
      <c r="M1372" s="110">
        <f>IF(L1372="",J1372,(MIN(#REF!,(L1372*1.6*#REF!))))</f>
        <v>707</v>
      </c>
      <c r="N1372" s="111" t="e">
        <f>IF(M1372=0,0,(M1372/#REF!))</f>
        <v>#REF!</v>
      </c>
    </row>
    <row r="1373" spans="2:14">
      <c r="B1373" s="120">
        <v>127779</v>
      </c>
      <c r="C1373" s="121" t="s">
        <v>2705</v>
      </c>
      <c r="D1373" s="109">
        <f>SUMIF(B$3:B$3844,B1373,M$3:M$3844)/(SUMIF(B$3:B$3844,B1373,J$3:J$3844))</f>
        <v>1</v>
      </c>
      <c r="E1373" s="122">
        <v>224830</v>
      </c>
      <c r="F1373" s="128" t="s">
        <v>2514</v>
      </c>
      <c r="G1373" s="128"/>
      <c r="H1373" s="117"/>
      <c r="I1373" s="129">
        <v>1545</v>
      </c>
      <c r="J1373" s="130">
        <v>2698</v>
      </c>
      <c r="K1373" s="118"/>
      <c r="L1373" s="119"/>
      <c r="M1373" s="110">
        <f>IF(L1373="",J1373,(MIN(#REF!,(L1373*1.6*#REF!))))</f>
        <v>2698</v>
      </c>
      <c r="N1373" s="111" t="e">
        <f>IF(M1373=0,0,(M1373/#REF!))</f>
        <v>#REF!</v>
      </c>
    </row>
    <row r="1374" spans="2:14">
      <c r="B1374" s="120">
        <v>127779</v>
      </c>
      <c r="C1374" s="121" t="s">
        <v>2705</v>
      </c>
      <c r="D1374" s="109">
        <f>SUMIF(B$3:B$3844,B1374,M$3:M$3844)/(SUMIF(B$3:B$3844,B1374,J$3:J$3844))</f>
        <v>1</v>
      </c>
      <c r="E1374" s="122">
        <v>37727</v>
      </c>
      <c r="F1374" s="128" t="s">
        <v>2515</v>
      </c>
      <c r="G1374" s="128"/>
      <c r="H1374" s="117"/>
      <c r="I1374" s="129">
        <v>157</v>
      </c>
      <c r="J1374" s="130">
        <v>421</v>
      </c>
      <c r="K1374" s="118"/>
      <c r="L1374" s="119"/>
      <c r="M1374" s="110">
        <f>IF(L1374="",J1374,(MIN(#REF!,(L1374*1.6*#REF!))))</f>
        <v>421</v>
      </c>
      <c r="N1374" s="111" t="e">
        <f>IF(M1374=0,0,(M1374/#REF!))</f>
        <v>#REF!</v>
      </c>
    </row>
    <row r="1375" spans="2:14">
      <c r="B1375" s="120">
        <v>127779</v>
      </c>
      <c r="C1375" s="121" t="s">
        <v>2705</v>
      </c>
      <c r="D1375" s="109">
        <f>SUMIF(B$3:B$3844,B1375,M$3:M$3844)/(SUMIF(B$3:B$3844,B1375,J$3:J$3844))</f>
        <v>1</v>
      </c>
      <c r="E1375" s="122">
        <v>37763</v>
      </c>
      <c r="F1375" s="128" t="s">
        <v>2516</v>
      </c>
      <c r="G1375" s="128"/>
      <c r="H1375" s="117"/>
      <c r="I1375" s="129">
        <v>536</v>
      </c>
      <c r="J1375" s="130">
        <v>714</v>
      </c>
      <c r="K1375" s="118"/>
      <c r="L1375" s="119"/>
      <c r="M1375" s="110">
        <f>IF(L1375="",J1375,(MIN(#REF!,(L1375*1.6*#REF!))))</f>
        <v>714</v>
      </c>
      <c r="N1375" s="111" t="e">
        <f>IF(M1375=0,0,(M1375/#REF!))</f>
        <v>#REF!</v>
      </c>
    </row>
    <row r="1376" spans="2:14">
      <c r="B1376" s="120">
        <v>127779</v>
      </c>
      <c r="C1376" s="121" t="s">
        <v>2705</v>
      </c>
      <c r="D1376" s="109">
        <f>SUMIF(B$3:B$3844,B1376,M$3:M$3844)/(SUMIF(B$3:B$3844,B1376,J$3:J$3844))</f>
        <v>1</v>
      </c>
      <c r="E1376" s="122">
        <v>37842</v>
      </c>
      <c r="F1376" s="128" t="s">
        <v>2517</v>
      </c>
      <c r="G1376" s="128"/>
      <c r="H1376" s="117"/>
      <c r="I1376" s="129">
        <v>480</v>
      </c>
      <c r="J1376" s="130">
        <v>1042</v>
      </c>
      <c r="K1376" s="118"/>
      <c r="L1376" s="119"/>
      <c r="M1376" s="110">
        <f>IF(L1376="",J1376,(MIN(#REF!,(L1376*1.6*#REF!))))</f>
        <v>1042</v>
      </c>
      <c r="N1376" s="111" t="e">
        <f>IF(M1376=0,0,(M1376/#REF!))</f>
        <v>#REF!</v>
      </c>
    </row>
    <row r="1377" spans="2:14">
      <c r="B1377" s="120">
        <v>127779</v>
      </c>
      <c r="C1377" s="121" t="s">
        <v>2705</v>
      </c>
      <c r="D1377" s="109">
        <f>SUMIF(B$3:B$3844,B1377,M$3:M$3844)/(SUMIF(B$3:B$3844,B1377,J$3:J$3844))</f>
        <v>1</v>
      </c>
      <c r="E1377" s="122">
        <v>37800</v>
      </c>
      <c r="F1377" s="128" t="s">
        <v>2518</v>
      </c>
      <c r="G1377" s="128"/>
      <c r="H1377" s="117"/>
      <c r="I1377" s="129">
        <v>606</v>
      </c>
      <c r="J1377" s="130">
        <v>643</v>
      </c>
      <c r="K1377" s="118"/>
      <c r="L1377" s="119"/>
      <c r="M1377" s="110">
        <f>IF(L1377="",J1377,(MIN(#REF!,(L1377*1.6*#REF!))))</f>
        <v>643</v>
      </c>
      <c r="N1377" s="111" t="e">
        <f>IF(M1377=0,0,(M1377/#REF!))</f>
        <v>#REF!</v>
      </c>
    </row>
    <row r="1378" spans="2:14">
      <c r="B1378" s="120">
        <v>127779</v>
      </c>
      <c r="C1378" s="121" t="s">
        <v>2705</v>
      </c>
      <c r="D1378" s="109">
        <f>SUMIF(B$3:B$3844,B1378,M$3:M$3844)/(SUMIF(B$3:B$3844,B1378,J$3:J$3844))</f>
        <v>1</v>
      </c>
      <c r="E1378" s="122">
        <v>37628</v>
      </c>
      <c r="F1378" s="128" t="s">
        <v>2519</v>
      </c>
      <c r="G1378" s="128"/>
      <c r="H1378" s="117"/>
      <c r="I1378" s="129">
        <v>198</v>
      </c>
      <c r="J1378" s="130">
        <v>607</v>
      </c>
      <c r="K1378" s="118"/>
      <c r="L1378" s="119"/>
      <c r="M1378" s="110">
        <f>IF(L1378="",J1378,(MIN(#REF!,(L1378*1.6*#REF!))))</f>
        <v>607</v>
      </c>
      <c r="N1378" s="111" t="e">
        <f>IF(M1378=0,0,(M1378/#REF!))</f>
        <v>#REF!</v>
      </c>
    </row>
    <row r="1379" spans="2:14">
      <c r="B1379" s="120">
        <v>127779</v>
      </c>
      <c r="C1379" s="121" t="s">
        <v>2705</v>
      </c>
      <c r="D1379" s="109">
        <f>SUMIF(B$3:B$3844,B1379,M$3:M$3844)/(SUMIF(B$3:B$3844,B1379,J$3:J$3844))</f>
        <v>1</v>
      </c>
      <c r="E1379" s="122">
        <v>37683</v>
      </c>
      <c r="F1379" s="128" t="s">
        <v>2520</v>
      </c>
      <c r="G1379" s="128"/>
      <c r="H1379" s="117"/>
      <c r="I1379" s="129">
        <v>1116</v>
      </c>
      <c r="J1379" s="130">
        <v>1708</v>
      </c>
      <c r="K1379" s="118"/>
      <c r="L1379" s="119"/>
      <c r="M1379" s="110">
        <f>IF(L1379="",J1379,(MIN(#REF!,(L1379*1.6*#REF!))))</f>
        <v>1708</v>
      </c>
      <c r="N1379" s="111" t="e">
        <f>IF(M1379=0,0,(M1379/#REF!))</f>
        <v>#REF!</v>
      </c>
    </row>
    <row r="1380" spans="2:14">
      <c r="B1380" s="120">
        <v>127779</v>
      </c>
      <c r="C1380" s="121" t="s">
        <v>2705</v>
      </c>
      <c r="D1380" s="109">
        <f>SUMIF(B$3:B$3844,B1380,M$3:M$3844)/(SUMIF(B$3:B$3844,B1380,J$3:J$3844))</f>
        <v>1</v>
      </c>
      <c r="E1380" s="122">
        <v>37679</v>
      </c>
      <c r="F1380" s="128" t="s">
        <v>2521</v>
      </c>
      <c r="G1380" s="128"/>
      <c r="H1380" s="117"/>
      <c r="I1380" s="129">
        <v>499</v>
      </c>
      <c r="J1380" s="130">
        <v>512</v>
      </c>
      <c r="K1380" s="118"/>
      <c r="L1380" s="119"/>
      <c r="M1380" s="110">
        <f>IF(L1380="",J1380,(MIN(#REF!,(L1380*1.6*#REF!))))</f>
        <v>512</v>
      </c>
      <c r="N1380" s="111" t="e">
        <f>IF(M1380=0,0,(M1380/#REF!))</f>
        <v>#REF!</v>
      </c>
    </row>
    <row r="1381" spans="2:14">
      <c r="B1381" s="120">
        <v>127779</v>
      </c>
      <c r="C1381" s="121" t="s">
        <v>2705</v>
      </c>
      <c r="D1381" s="109">
        <f>SUMIF(B$3:B$3844,B1381,M$3:M$3844)/(SUMIF(B$3:B$3844,B1381,J$3:J$3844))</f>
        <v>1</v>
      </c>
      <c r="E1381" s="122">
        <v>37681</v>
      </c>
      <c r="F1381" s="128" t="s">
        <v>2522</v>
      </c>
      <c r="G1381" s="128"/>
      <c r="H1381" s="117"/>
      <c r="I1381" s="129">
        <v>698</v>
      </c>
      <c r="J1381" s="130">
        <v>951</v>
      </c>
      <c r="K1381" s="118"/>
      <c r="L1381" s="119"/>
      <c r="M1381" s="110">
        <f>IF(L1381="",J1381,(MIN(#REF!,(L1381*1.6*#REF!))))</f>
        <v>951</v>
      </c>
      <c r="N1381" s="111" t="e">
        <f>IF(M1381=0,0,(M1381/#REF!))</f>
        <v>#REF!</v>
      </c>
    </row>
    <row r="1382" spans="2:14">
      <c r="B1382" s="120">
        <v>127779</v>
      </c>
      <c r="C1382" s="121" t="s">
        <v>2705</v>
      </c>
      <c r="D1382" s="109">
        <f>SUMIF(B$3:B$3844,B1382,M$3:M$3844)/(SUMIF(B$3:B$3844,B1382,J$3:J$3844))</f>
        <v>1</v>
      </c>
      <c r="E1382" s="122">
        <v>37522</v>
      </c>
      <c r="F1382" s="128" t="s">
        <v>2523</v>
      </c>
      <c r="G1382" s="128"/>
      <c r="H1382" s="117"/>
      <c r="I1382" s="129">
        <v>1203</v>
      </c>
      <c r="J1382" s="130">
        <v>1969</v>
      </c>
      <c r="K1382" s="118"/>
      <c r="L1382" s="119"/>
      <c r="M1382" s="110">
        <f>IF(L1382="",J1382,(MIN(#REF!,(L1382*1.6*#REF!))))</f>
        <v>1969</v>
      </c>
      <c r="N1382" s="111" t="e">
        <f>IF(M1382=0,0,(M1382/#REF!))</f>
        <v>#REF!</v>
      </c>
    </row>
    <row r="1383" spans="2:14">
      <c r="B1383" s="120">
        <v>127779</v>
      </c>
      <c r="C1383" s="121" t="s">
        <v>2705</v>
      </c>
      <c r="D1383" s="109">
        <f>SUMIF(B$3:B$3844,B1383,M$3:M$3844)/(SUMIF(B$3:B$3844,B1383,J$3:J$3844))</f>
        <v>1</v>
      </c>
      <c r="E1383" s="122">
        <v>37599</v>
      </c>
      <c r="F1383" s="128" t="s">
        <v>2524</v>
      </c>
      <c r="G1383" s="128"/>
      <c r="H1383" s="117"/>
      <c r="I1383" s="129">
        <v>302</v>
      </c>
      <c r="J1383" s="130">
        <v>579</v>
      </c>
      <c r="K1383" s="118"/>
      <c r="L1383" s="119"/>
      <c r="M1383" s="110">
        <f>IF(L1383="",J1383,(MIN(#REF!,(L1383*1.6*#REF!))))</f>
        <v>579</v>
      </c>
      <c r="N1383" s="111" t="e">
        <f>IF(M1383=0,0,(M1383/#REF!))</f>
        <v>#REF!</v>
      </c>
    </row>
    <row r="1384" spans="2:14">
      <c r="B1384" s="120">
        <v>127779</v>
      </c>
      <c r="C1384" s="121" t="s">
        <v>2705</v>
      </c>
      <c r="D1384" s="109">
        <f>SUMIF(B$3:B$3844,B1384,M$3:M$3844)/(SUMIF(B$3:B$3844,B1384,J$3:J$3844))</f>
        <v>1</v>
      </c>
      <c r="E1384" s="122">
        <v>37523</v>
      </c>
      <c r="F1384" s="128" t="s">
        <v>2525</v>
      </c>
      <c r="G1384" s="128"/>
      <c r="H1384" s="117"/>
      <c r="I1384" s="129">
        <v>588</v>
      </c>
      <c r="J1384" s="130">
        <v>693</v>
      </c>
      <c r="K1384" s="118"/>
      <c r="L1384" s="119"/>
      <c r="M1384" s="110">
        <f>IF(L1384="",J1384,(MIN(#REF!,(L1384*1.6*#REF!))))</f>
        <v>693</v>
      </c>
      <c r="N1384" s="111" t="e">
        <f>IF(M1384=0,0,(M1384/#REF!))</f>
        <v>#REF!</v>
      </c>
    </row>
    <row r="1385" spans="2:14">
      <c r="B1385" s="120">
        <v>127779</v>
      </c>
      <c r="C1385" s="121" t="s">
        <v>2705</v>
      </c>
      <c r="D1385" s="109">
        <f>SUMIF(B$3:B$3844,B1385,M$3:M$3844)/(SUMIF(B$3:B$3844,B1385,J$3:J$3844))</f>
        <v>1</v>
      </c>
      <c r="E1385" s="122">
        <v>224829</v>
      </c>
      <c r="F1385" s="128" t="s">
        <v>2526</v>
      </c>
      <c r="G1385" s="128"/>
      <c r="H1385" s="117"/>
      <c r="I1385" s="129">
        <v>87</v>
      </c>
      <c r="J1385" s="130">
        <v>805</v>
      </c>
      <c r="K1385" s="118"/>
      <c r="L1385" s="119"/>
      <c r="M1385" s="110">
        <f>IF(L1385="",J1385,(MIN(#REF!,(L1385*1.6*#REF!))))</f>
        <v>805</v>
      </c>
      <c r="N1385" s="111" t="e">
        <f>IF(M1385=0,0,(M1385/#REF!))</f>
        <v>#REF!</v>
      </c>
    </row>
    <row r="1386" spans="2:14">
      <c r="B1386" s="120">
        <v>127779</v>
      </c>
      <c r="C1386" s="121" t="s">
        <v>2705</v>
      </c>
      <c r="D1386" s="109">
        <f>SUMIF(B$3:B$3844,B1386,M$3:M$3844)/(SUMIF(B$3:B$3844,B1386,J$3:J$3844))</f>
        <v>1</v>
      </c>
      <c r="E1386" s="122">
        <v>224909</v>
      </c>
      <c r="F1386" s="128" t="s">
        <v>2527</v>
      </c>
      <c r="G1386" s="128"/>
      <c r="H1386" s="117"/>
      <c r="I1386" s="129">
        <v>154</v>
      </c>
      <c r="J1386" s="130">
        <v>182</v>
      </c>
      <c r="K1386" s="118"/>
      <c r="L1386" s="119"/>
      <c r="M1386" s="110">
        <f>IF(L1386="",J1386,(MIN(#REF!,(L1386*1.6*#REF!))))</f>
        <v>182</v>
      </c>
      <c r="N1386" s="111" t="e">
        <f>IF(M1386=0,0,(M1386/#REF!))</f>
        <v>#REF!</v>
      </c>
    </row>
    <row r="1387" spans="2:14">
      <c r="B1387" s="120">
        <v>127779</v>
      </c>
      <c r="C1387" s="121" t="s">
        <v>2705</v>
      </c>
      <c r="D1387" s="109">
        <f>SUMIF(B$3:B$3844,B1387,M$3:M$3844)/(SUMIF(B$3:B$3844,B1387,J$3:J$3844))</f>
        <v>1</v>
      </c>
      <c r="E1387" s="122">
        <v>37576</v>
      </c>
      <c r="F1387" s="128" t="s">
        <v>2528</v>
      </c>
      <c r="G1387" s="128"/>
      <c r="H1387" s="117"/>
      <c r="I1387" s="129">
        <v>149</v>
      </c>
      <c r="J1387" s="130">
        <v>195</v>
      </c>
      <c r="K1387" s="118"/>
      <c r="L1387" s="119"/>
      <c r="M1387" s="110">
        <f>IF(L1387="",J1387,(MIN(#REF!,(L1387*1.6*#REF!))))</f>
        <v>195</v>
      </c>
      <c r="N1387" s="111" t="e">
        <f>IF(M1387=0,0,(M1387/#REF!))</f>
        <v>#REF!</v>
      </c>
    </row>
    <row r="1388" spans="2:14">
      <c r="B1388" s="120">
        <v>127779</v>
      </c>
      <c r="C1388" s="121" t="s">
        <v>2705</v>
      </c>
      <c r="D1388" s="109">
        <f>SUMIF(B$3:B$3844,B1388,M$3:M$3844)/(SUMIF(B$3:B$3844,B1388,J$3:J$3844))</f>
        <v>1</v>
      </c>
      <c r="E1388" s="122">
        <v>37531</v>
      </c>
      <c r="F1388" s="128" t="s">
        <v>2529</v>
      </c>
      <c r="G1388" s="128"/>
      <c r="H1388" s="117"/>
      <c r="I1388" s="129">
        <v>420</v>
      </c>
      <c r="J1388" s="130">
        <v>900</v>
      </c>
      <c r="K1388" s="118"/>
      <c r="L1388" s="119"/>
      <c r="M1388" s="110">
        <f>IF(L1388="",J1388,(MIN(#REF!,(L1388*1.6*#REF!))))</f>
        <v>900</v>
      </c>
      <c r="N1388" s="111" t="e">
        <f>IF(M1388=0,0,(M1388/#REF!))</f>
        <v>#REF!</v>
      </c>
    </row>
    <row r="1389" spans="2:14">
      <c r="B1389" s="120">
        <v>127779</v>
      </c>
      <c r="C1389" s="121" t="s">
        <v>2705</v>
      </c>
      <c r="D1389" s="109">
        <f>SUMIF(B$3:B$3844,B1389,M$3:M$3844)/(SUMIF(B$3:B$3844,B1389,J$3:J$3844))</f>
        <v>1</v>
      </c>
      <c r="E1389" s="122">
        <v>37644</v>
      </c>
      <c r="F1389" s="128" t="s">
        <v>2530</v>
      </c>
      <c r="G1389" s="128"/>
      <c r="H1389" s="117"/>
      <c r="I1389" s="129">
        <v>355</v>
      </c>
      <c r="J1389" s="130">
        <v>373</v>
      </c>
      <c r="K1389" s="118"/>
      <c r="L1389" s="119"/>
      <c r="M1389" s="110">
        <f>IF(L1389="",J1389,(MIN(#REF!,(L1389*1.6*#REF!))))</f>
        <v>373</v>
      </c>
      <c r="N1389" s="111" t="e">
        <f>IF(M1389=0,0,(M1389/#REF!))</f>
        <v>#REF!</v>
      </c>
    </row>
    <row r="1390" spans="2:14">
      <c r="B1390" s="120">
        <v>127779</v>
      </c>
      <c r="C1390" s="121" t="s">
        <v>2705</v>
      </c>
      <c r="D1390" s="109">
        <f>SUMIF(B$3:B$3844,B1390,M$3:M$3844)/(SUMIF(B$3:B$3844,B1390,J$3:J$3844))</f>
        <v>1</v>
      </c>
      <c r="E1390" s="122">
        <v>37592</v>
      </c>
      <c r="F1390" s="128" t="s">
        <v>2531</v>
      </c>
      <c r="G1390" s="128"/>
      <c r="H1390" s="117"/>
      <c r="I1390" s="129">
        <v>733</v>
      </c>
      <c r="J1390" s="130">
        <v>782</v>
      </c>
      <c r="K1390" s="118"/>
      <c r="L1390" s="119"/>
      <c r="M1390" s="110">
        <f>IF(L1390="",J1390,(MIN(#REF!,(L1390*1.6*#REF!))))</f>
        <v>782</v>
      </c>
      <c r="N1390" s="111" t="e">
        <f>IF(M1390=0,0,(M1390/#REF!))</f>
        <v>#REF!</v>
      </c>
    </row>
    <row r="1391" spans="2:14">
      <c r="B1391" s="120">
        <v>127779</v>
      </c>
      <c r="C1391" s="121" t="s">
        <v>2705</v>
      </c>
      <c r="D1391" s="109">
        <f>SUMIF(B$3:B$3844,B1391,M$3:M$3844)/(SUMIF(B$3:B$3844,B1391,J$3:J$3844))</f>
        <v>1</v>
      </c>
      <c r="E1391" s="122">
        <v>230477</v>
      </c>
      <c r="F1391" s="128" t="s">
        <v>2532</v>
      </c>
      <c r="G1391" s="128"/>
      <c r="H1391" s="117"/>
      <c r="I1391" s="129">
        <v>105</v>
      </c>
      <c r="J1391" s="130">
        <v>975</v>
      </c>
      <c r="K1391" s="118"/>
      <c r="L1391" s="119"/>
      <c r="M1391" s="110">
        <f>IF(L1391="",J1391,(MIN(#REF!,(L1391*1.6*#REF!))))</f>
        <v>975</v>
      </c>
      <c r="N1391" s="111" t="e">
        <f>IF(M1391=0,0,(M1391/#REF!))</f>
        <v>#REF!</v>
      </c>
    </row>
    <row r="1392" spans="2:14">
      <c r="B1392" s="120">
        <v>127779</v>
      </c>
      <c r="C1392" s="121" t="s">
        <v>2705</v>
      </c>
      <c r="D1392" s="109">
        <f>SUMIF(B$3:B$3844,B1392,M$3:M$3844)/(SUMIF(B$3:B$3844,B1392,J$3:J$3844))</f>
        <v>1</v>
      </c>
      <c r="E1392" s="122">
        <v>37743</v>
      </c>
      <c r="F1392" s="128" t="s">
        <v>2533</v>
      </c>
      <c r="G1392" s="128"/>
      <c r="H1392" s="117"/>
      <c r="I1392" s="129">
        <v>535</v>
      </c>
      <c r="J1392" s="130">
        <v>683</v>
      </c>
      <c r="K1392" s="118"/>
      <c r="L1392" s="119"/>
      <c r="M1392" s="110">
        <f>IF(L1392="",J1392,(MIN(#REF!,(L1392*1.6*#REF!))))</f>
        <v>683</v>
      </c>
      <c r="N1392" s="111" t="e">
        <f>IF(M1392=0,0,(M1392/#REF!))</f>
        <v>#REF!</v>
      </c>
    </row>
    <row r="1393" spans="2:14">
      <c r="B1393" s="120">
        <v>127779</v>
      </c>
      <c r="C1393" s="121" t="s">
        <v>2705</v>
      </c>
      <c r="D1393" s="109">
        <f>SUMIF(B$3:B$3844,B1393,M$3:M$3844)/(SUMIF(B$3:B$3844,B1393,J$3:J$3844))</f>
        <v>1</v>
      </c>
      <c r="E1393" s="122">
        <v>37626</v>
      </c>
      <c r="F1393" s="128" t="s">
        <v>2534</v>
      </c>
      <c r="G1393" s="128"/>
      <c r="H1393" s="117"/>
      <c r="I1393" s="129">
        <v>255</v>
      </c>
      <c r="J1393" s="130">
        <v>674</v>
      </c>
      <c r="K1393" s="118"/>
      <c r="L1393" s="119"/>
      <c r="M1393" s="110">
        <f>IF(L1393="",J1393,(MIN(#REF!,(L1393*1.6*#REF!))))</f>
        <v>674</v>
      </c>
      <c r="N1393" s="111" t="e">
        <f>IF(M1393=0,0,(M1393/#REF!))</f>
        <v>#REF!</v>
      </c>
    </row>
    <row r="1394" spans="2:14">
      <c r="B1394" s="120">
        <v>127779</v>
      </c>
      <c r="C1394" s="121" t="s">
        <v>2705</v>
      </c>
      <c r="D1394" s="109">
        <f>SUMIF(B$3:B$3844,B1394,M$3:M$3844)/(SUMIF(B$3:B$3844,B1394,J$3:J$3844))</f>
        <v>1</v>
      </c>
      <c r="E1394" s="122">
        <v>37614</v>
      </c>
      <c r="F1394" s="128" t="s">
        <v>2535</v>
      </c>
      <c r="G1394" s="128"/>
      <c r="H1394" s="117"/>
      <c r="I1394" s="129">
        <v>617</v>
      </c>
      <c r="J1394" s="130">
        <v>731</v>
      </c>
      <c r="K1394" s="118"/>
      <c r="L1394" s="119"/>
      <c r="M1394" s="110">
        <f>IF(L1394="",J1394,(MIN(#REF!,(L1394*1.6*#REF!))))</f>
        <v>731</v>
      </c>
      <c r="N1394" s="111" t="e">
        <f>IF(M1394=0,0,(M1394/#REF!))</f>
        <v>#REF!</v>
      </c>
    </row>
    <row r="1395" spans="2:14">
      <c r="B1395" s="120">
        <v>127779</v>
      </c>
      <c r="C1395" s="121" t="s">
        <v>2705</v>
      </c>
      <c r="D1395" s="109">
        <f>SUMIF(B$3:B$3844,B1395,M$3:M$3844)/(SUMIF(B$3:B$3844,B1395,J$3:J$3844))</f>
        <v>1</v>
      </c>
      <c r="E1395" s="122">
        <v>230478</v>
      </c>
      <c r="F1395" s="128" t="s">
        <v>2536</v>
      </c>
      <c r="G1395" s="128"/>
      <c r="H1395" s="117"/>
      <c r="I1395" s="129">
        <v>327</v>
      </c>
      <c r="J1395" s="130">
        <v>340</v>
      </c>
      <c r="K1395" s="118"/>
      <c r="L1395" s="119"/>
      <c r="M1395" s="110">
        <f>IF(L1395="",J1395,(MIN(#REF!,(L1395*1.6*#REF!))))</f>
        <v>340</v>
      </c>
      <c r="N1395" s="111" t="e">
        <f>IF(M1395=0,0,(M1395/#REF!))</f>
        <v>#REF!</v>
      </c>
    </row>
    <row r="1396" spans="2:14">
      <c r="B1396" s="120">
        <v>127779</v>
      </c>
      <c r="C1396" s="121" t="s">
        <v>2705</v>
      </c>
      <c r="D1396" s="109">
        <f>SUMIF(B$3:B$3844,B1396,M$3:M$3844)/(SUMIF(B$3:B$3844,B1396,J$3:J$3844))</f>
        <v>1</v>
      </c>
      <c r="E1396" s="122">
        <v>37530</v>
      </c>
      <c r="F1396" s="128" t="s">
        <v>2537</v>
      </c>
      <c r="G1396" s="128"/>
      <c r="H1396" s="117"/>
      <c r="I1396" s="129">
        <v>436</v>
      </c>
      <c r="J1396" s="130">
        <v>1239</v>
      </c>
      <c r="K1396" s="118"/>
      <c r="L1396" s="119"/>
      <c r="M1396" s="110">
        <f>IF(L1396="",J1396,(MIN(#REF!,(L1396*1.6*#REF!))))</f>
        <v>1239</v>
      </c>
      <c r="N1396" s="111" t="e">
        <f>IF(M1396=0,0,(M1396/#REF!))</f>
        <v>#REF!</v>
      </c>
    </row>
    <row r="1397" spans="2:14">
      <c r="B1397" s="120">
        <v>127779</v>
      </c>
      <c r="C1397" s="121" t="s">
        <v>2705</v>
      </c>
      <c r="D1397" s="109">
        <f>SUMIF(B$3:B$3844,B1397,M$3:M$3844)/(SUMIF(B$3:B$3844,B1397,J$3:J$3844))</f>
        <v>1</v>
      </c>
      <c r="E1397" s="122">
        <v>37657</v>
      </c>
      <c r="F1397" s="128" t="s">
        <v>2538</v>
      </c>
      <c r="G1397" s="128"/>
      <c r="H1397" s="117"/>
      <c r="I1397" s="129">
        <v>369</v>
      </c>
      <c r="J1397" s="130">
        <v>440</v>
      </c>
      <c r="K1397" s="118"/>
      <c r="L1397" s="119"/>
      <c r="M1397" s="110">
        <f>IF(L1397="",J1397,(MIN(#REF!,(L1397*1.6*#REF!))))</f>
        <v>440</v>
      </c>
      <c r="N1397" s="111" t="e">
        <f>IF(M1397=0,0,(M1397/#REF!))</f>
        <v>#REF!</v>
      </c>
    </row>
    <row r="1398" spans="2:14">
      <c r="B1398" s="120">
        <v>127779</v>
      </c>
      <c r="C1398" s="121" t="s">
        <v>2705</v>
      </c>
      <c r="D1398" s="109">
        <f>SUMIF(B$3:B$3844,B1398,M$3:M$3844)/(SUMIF(B$3:B$3844,B1398,J$3:J$3844))</f>
        <v>1</v>
      </c>
      <c r="E1398" s="122">
        <v>37656</v>
      </c>
      <c r="F1398" s="128" t="s">
        <v>2539</v>
      </c>
      <c r="G1398" s="128"/>
      <c r="H1398" s="117"/>
      <c r="I1398" s="129">
        <v>437</v>
      </c>
      <c r="J1398" s="130">
        <v>454</v>
      </c>
      <c r="K1398" s="118"/>
      <c r="L1398" s="119"/>
      <c r="M1398" s="110">
        <f>IF(L1398="",J1398,(MIN(#REF!,(L1398*1.6*#REF!))))</f>
        <v>454</v>
      </c>
      <c r="N1398" s="111" t="e">
        <f>IF(M1398=0,0,(M1398/#REF!))</f>
        <v>#REF!</v>
      </c>
    </row>
    <row r="1399" spans="2:14">
      <c r="B1399" s="120">
        <v>127779</v>
      </c>
      <c r="C1399" s="121" t="s">
        <v>2705</v>
      </c>
      <c r="D1399" s="109">
        <f>SUMIF(B$3:B$3844,B1399,M$3:M$3844)/(SUMIF(B$3:B$3844,B1399,J$3:J$3844))</f>
        <v>1</v>
      </c>
      <c r="E1399" s="122">
        <v>37808</v>
      </c>
      <c r="F1399" s="128" t="s">
        <v>2540</v>
      </c>
      <c r="G1399" s="128"/>
      <c r="H1399" s="117"/>
      <c r="I1399" s="129">
        <v>545</v>
      </c>
      <c r="J1399" s="130">
        <v>717</v>
      </c>
      <c r="K1399" s="118"/>
      <c r="L1399" s="119"/>
      <c r="M1399" s="110">
        <f>IF(L1399="",J1399,(MIN(#REF!,(L1399*1.6*#REF!))))</f>
        <v>717</v>
      </c>
      <c r="N1399" s="111" t="e">
        <f>IF(M1399=0,0,(M1399/#REF!))</f>
        <v>#REF!</v>
      </c>
    </row>
    <row r="1400" spans="2:14">
      <c r="B1400" s="120">
        <v>127779</v>
      </c>
      <c r="C1400" s="121" t="s">
        <v>2705</v>
      </c>
      <c r="D1400" s="109">
        <f>SUMIF(B$3:B$3844,B1400,M$3:M$3844)/(SUMIF(B$3:B$3844,B1400,J$3:J$3844))</f>
        <v>1</v>
      </c>
      <c r="E1400" s="122">
        <v>37793</v>
      </c>
      <c r="F1400" s="128" t="s">
        <v>2541</v>
      </c>
      <c r="G1400" s="128"/>
      <c r="H1400" s="117"/>
      <c r="I1400" s="129">
        <v>349</v>
      </c>
      <c r="J1400" s="130">
        <v>800</v>
      </c>
      <c r="K1400" s="118"/>
      <c r="L1400" s="119"/>
      <c r="M1400" s="110">
        <f>IF(L1400="",J1400,(MIN(#REF!,(L1400*1.6*#REF!))))</f>
        <v>800</v>
      </c>
      <c r="N1400" s="111" t="e">
        <f>IF(M1400=0,0,(M1400/#REF!))</f>
        <v>#REF!</v>
      </c>
    </row>
    <row r="1401" spans="2:14">
      <c r="B1401" s="120">
        <v>127779</v>
      </c>
      <c r="C1401" s="121" t="s">
        <v>2705</v>
      </c>
      <c r="D1401" s="109">
        <f>SUMIF(B$3:B$3844,B1401,M$3:M$3844)/(SUMIF(B$3:B$3844,B1401,J$3:J$3844))</f>
        <v>1</v>
      </c>
      <c r="E1401" s="122">
        <v>37742</v>
      </c>
      <c r="F1401" s="128" t="s">
        <v>2542</v>
      </c>
      <c r="G1401" s="128"/>
      <c r="H1401" s="117"/>
      <c r="I1401" s="129">
        <v>1460</v>
      </c>
      <c r="J1401" s="130">
        <v>1864</v>
      </c>
      <c r="K1401" s="118"/>
      <c r="L1401" s="119"/>
      <c r="M1401" s="110">
        <f>IF(L1401="",J1401,(MIN(#REF!,(L1401*1.6*#REF!))))</f>
        <v>1864</v>
      </c>
      <c r="N1401" s="111" t="e">
        <f>IF(M1401=0,0,(M1401/#REF!))</f>
        <v>#REF!</v>
      </c>
    </row>
    <row r="1402" spans="2:14">
      <c r="B1402" s="120">
        <v>127779</v>
      </c>
      <c r="C1402" s="121" t="s">
        <v>2705</v>
      </c>
      <c r="D1402" s="109">
        <f>SUMIF(B$3:B$3844,B1402,M$3:M$3844)/(SUMIF(B$3:B$3844,B1402,J$3:J$3844))</f>
        <v>1</v>
      </c>
      <c r="E1402" s="122">
        <v>37729</v>
      </c>
      <c r="F1402" s="128" t="s">
        <v>2543</v>
      </c>
      <c r="G1402" s="128"/>
      <c r="H1402" s="117"/>
      <c r="I1402" s="129">
        <v>267</v>
      </c>
      <c r="J1402" s="130">
        <v>375</v>
      </c>
      <c r="K1402" s="118"/>
      <c r="L1402" s="119"/>
      <c r="M1402" s="110">
        <f>IF(L1402="",J1402,(MIN(#REF!,(L1402*1.6*#REF!))))</f>
        <v>375</v>
      </c>
      <c r="N1402" s="111" t="e">
        <f>IF(M1402=0,0,(M1402/#REF!))</f>
        <v>#REF!</v>
      </c>
    </row>
    <row r="1403" spans="2:14">
      <c r="B1403" s="120">
        <v>127779</v>
      </c>
      <c r="C1403" s="121" t="s">
        <v>2705</v>
      </c>
      <c r="D1403" s="109">
        <f>SUMIF(B$3:B$3844,B1403,M$3:M$3844)/(SUMIF(B$3:B$3844,B1403,J$3:J$3844))</f>
        <v>1</v>
      </c>
      <c r="E1403" s="122">
        <v>224831</v>
      </c>
      <c r="F1403" s="128" t="s">
        <v>2544</v>
      </c>
      <c r="G1403" s="128"/>
      <c r="H1403" s="117"/>
      <c r="I1403" s="129">
        <v>347</v>
      </c>
      <c r="J1403" s="130">
        <v>842</v>
      </c>
      <c r="K1403" s="118"/>
      <c r="L1403" s="119"/>
      <c r="M1403" s="110">
        <f>IF(L1403="",J1403,(MIN(#REF!,(L1403*1.6*#REF!))))</f>
        <v>842</v>
      </c>
      <c r="N1403" s="111" t="e">
        <f>IF(M1403=0,0,(M1403/#REF!))</f>
        <v>#REF!</v>
      </c>
    </row>
    <row r="1404" spans="2:14">
      <c r="B1404" s="120">
        <v>127779</v>
      </c>
      <c r="C1404" s="121" t="s">
        <v>2705</v>
      </c>
      <c r="D1404" s="109">
        <f>SUMIF(B$3:B$3844,B1404,M$3:M$3844)/(SUMIF(B$3:B$3844,B1404,J$3:J$3844))</f>
        <v>1</v>
      </c>
      <c r="E1404" s="122">
        <v>37812</v>
      </c>
      <c r="F1404" s="128" t="s">
        <v>2545</v>
      </c>
      <c r="G1404" s="128"/>
      <c r="H1404" s="117"/>
      <c r="I1404" s="129">
        <v>367</v>
      </c>
      <c r="J1404" s="130">
        <v>602</v>
      </c>
      <c r="K1404" s="118"/>
      <c r="L1404" s="119"/>
      <c r="M1404" s="110">
        <f>IF(L1404="",J1404,(MIN(#REF!,(L1404*1.6*#REF!))))</f>
        <v>602</v>
      </c>
      <c r="N1404" s="111" t="e">
        <f>IF(M1404=0,0,(M1404/#REF!))</f>
        <v>#REF!</v>
      </c>
    </row>
    <row r="1405" spans="2:14">
      <c r="B1405" s="120">
        <v>127779</v>
      </c>
      <c r="C1405" s="121" t="s">
        <v>2705</v>
      </c>
      <c r="D1405" s="109">
        <f>SUMIF(B$3:B$3844,B1405,M$3:M$3844)/(SUMIF(B$3:B$3844,B1405,J$3:J$3844))</f>
        <v>1</v>
      </c>
      <c r="E1405" s="122">
        <v>230479</v>
      </c>
      <c r="F1405" s="128" t="s">
        <v>2546</v>
      </c>
      <c r="G1405" s="128"/>
      <c r="H1405" s="117"/>
      <c r="I1405" s="129">
        <v>299</v>
      </c>
      <c r="J1405" s="130">
        <v>893</v>
      </c>
      <c r="K1405" s="118"/>
      <c r="L1405" s="119"/>
      <c r="M1405" s="110">
        <f>IF(L1405="",J1405,(MIN(#REF!,(L1405*1.6*#REF!))))</f>
        <v>893</v>
      </c>
      <c r="N1405" s="111" t="e">
        <f>IF(M1405=0,0,(M1405/#REF!))</f>
        <v>#REF!</v>
      </c>
    </row>
    <row r="1406" spans="2:14">
      <c r="B1406" s="120">
        <v>127779</v>
      </c>
      <c r="C1406" s="121" t="s">
        <v>2705</v>
      </c>
      <c r="D1406" s="109">
        <f>SUMIF(B$3:B$3844,B1406,M$3:M$3844)/(SUMIF(B$3:B$3844,B1406,J$3:J$3844))</f>
        <v>1</v>
      </c>
      <c r="E1406" s="122">
        <v>37798</v>
      </c>
      <c r="F1406" s="128" t="s">
        <v>2547</v>
      </c>
      <c r="G1406" s="128"/>
      <c r="H1406" s="117"/>
      <c r="I1406" s="129">
        <v>607</v>
      </c>
      <c r="J1406" s="130">
        <v>631</v>
      </c>
      <c r="K1406" s="118"/>
      <c r="L1406" s="119"/>
      <c r="M1406" s="110">
        <f>IF(L1406="",J1406,(MIN(#REF!,(L1406*1.6*#REF!))))</f>
        <v>631</v>
      </c>
      <c r="N1406" s="111" t="e">
        <f>IF(M1406=0,0,(M1406/#REF!))</f>
        <v>#REF!</v>
      </c>
    </row>
    <row r="1407" spans="2:14">
      <c r="B1407" s="120">
        <v>127779</v>
      </c>
      <c r="C1407" s="121" t="s">
        <v>2705</v>
      </c>
      <c r="D1407" s="109">
        <f>SUMIF(B$3:B$3844,B1407,M$3:M$3844)/(SUMIF(B$3:B$3844,B1407,J$3:J$3844))</f>
        <v>1</v>
      </c>
      <c r="E1407" s="122">
        <v>37797</v>
      </c>
      <c r="F1407" s="128" t="s">
        <v>2548</v>
      </c>
      <c r="G1407" s="128"/>
      <c r="H1407" s="117"/>
      <c r="I1407" s="129">
        <v>569</v>
      </c>
      <c r="J1407" s="130">
        <v>616</v>
      </c>
      <c r="K1407" s="118"/>
      <c r="L1407" s="119"/>
      <c r="M1407" s="110">
        <f>IF(L1407="",J1407,(MIN(#REF!,(L1407*1.6*#REF!))))</f>
        <v>616</v>
      </c>
      <c r="N1407" s="111" t="e">
        <f>IF(M1407=0,0,(M1407/#REF!))</f>
        <v>#REF!</v>
      </c>
    </row>
    <row r="1408" spans="2:14">
      <c r="B1408" s="120">
        <v>127779</v>
      </c>
      <c r="C1408" s="121" t="s">
        <v>2705</v>
      </c>
      <c r="D1408" s="109">
        <f>SUMIF(B$3:B$3844,B1408,M$3:M$3844)/(SUMIF(B$3:B$3844,B1408,J$3:J$3844))</f>
        <v>1</v>
      </c>
      <c r="E1408" s="122">
        <v>167729</v>
      </c>
      <c r="F1408" s="128" t="s">
        <v>2549</v>
      </c>
      <c r="G1408" s="128"/>
      <c r="H1408" s="117"/>
      <c r="I1408" s="129">
        <v>370</v>
      </c>
      <c r="J1408" s="130">
        <v>854</v>
      </c>
      <c r="K1408" s="118"/>
      <c r="L1408" s="119"/>
      <c r="M1408" s="110">
        <f>IF(L1408="",J1408,(MIN(#REF!,(L1408*1.6*#REF!))))</f>
        <v>854</v>
      </c>
      <c r="N1408" s="111" t="e">
        <f>IF(M1408=0,0,(M1408/#REF!))</f>
        <v>#REF!</v>
      </c>
    </row>
    <row r="1409" spans="2:14">
      <c r="B1409" s="120">
        <v>127779</v>
      </c>
      <c r="C1409" s="121" t="s">
        <v>2705</v>
      </c>
      <c r="D1409" s="109">
        <f>SUMIF(B$3:B$3844,B1409,M$3:M$3844)/(SUMIF(B$3:B$3844,B1409,J$3:J$3844))</f>
        <v>1</v>
      </c>
      <c r="E1409" s="122">
        <v>37805</v>
      </c>
      <c r="F1409" s="128" t="s">
        <v>2550</v>
      </c>
      <c r="G1409" s="128"/>
      <c r="H1409" s="117"/>
      <c r="I1409" s="129">
        <v>427</v>
      </c>
      <c r="J1409" s="130">
        <v>791</v>
      </c>
      <c r="K1409" s="118"/>
      <c r="L1409" s="119"/>
      <c r="M1409" s="110">
        <f>IF(L1409="",J1409,(MIN(#REF!,(L1409*1.6*#REF!))))</f>
        <v>791</v>
      </c>
      <c r="N1409" s="111" t="e">
        <f>IF(M1409=0,0,(M1409/#REF!))</f>
        <v>#REF!</v>
      </c>
    </row>
    <row r="1410" spans="2:14">
      <c r="B1410" s="120">
        <v>127779</v>
      </c>
      <c r="C1410" s="121" t="s">
        <v>2705</v>
      </c>
      <c r="D1410" s="109">
        <f>SUMIF(B$3:B$3844,B1410,M$3:M$3844)/(SUMIF(B$3:B$3844,B1410,J$3:J$3844))</f>
        <v>1</v>
      </c>
      <c r="E1410" s="122">
        <v>37660</v>
      </c>
      <c r="F1410" s="128" t="s">
        <v>2551</v>
      </c>
      <c r="G1410" s="128"/>
      <c r="H1410" s="117"/>
      <c r="I1410" s="129">
        <v>363</v>
      </c>
      <c r="J1410" s="130">
        <v>374</v>
      </c>
      <c r="K1410" s="118"/>
      <c r="L1410" s="119"/>
      <c r="M1410" s="110">
        <f>IF(L1410="",J1410,(MIN(#REF!,(L1410*1.6*#REF!))))</f>
        <v>374</v>
      </c>
      <c r="N1410" s="111" t="e">
        <f>IF(M1410=0,0,(M1410/#REF!))</f>
        <v>#REF!</v>
      </c>
    </row>
    <row r="1411" spans="2:14">
      <c r="B1411" s="120">
        <v>127779</v>
      </c>
      <c r="C1411" s="121" t="s">
        <v>2705</v>
      </c>
      <c r="D1411" s="109">
        <f>SUMIF(B$3:B$3844,B1411,M$3:M$3844)/(SUMIF(B$3:B$3844,B1411,J$3:J$3844))</f>
        <v>1</v>
      </c>
      <c r="E1411" s="122">
        <v>37819</v>
      </c>
      <c r="F1411" s="128" t="s">
        <v>2552</v>
      </c>
      <c r="G1411" s="128"/>
      <c r="H1411" s="117"/>
      <c r="I1411" s="129">
        <v>179</v>
      </c>
      <c r="J1411" s="130">
        <v>925</v>
      </c>
      <c r="K1411" s="118"/>
      <c r="L1411" s="119"/>
      <c r="M1411" s="110">
        <f>IF(L1411="",J1411,(MIN(#REF!,(L1411*1.6*#REF!))))</f>
        <v>925</v>
      </c>
      <c r="N1411" s="111" t="e">
        <f>IF(M1411=0,0,(M1411/#REF!))</f>
        <v>#REF!</v>
      </c>
    </row>
    <row r="1412" spans="2:14">
      <c r="B1412" s="120">
        <v>127779</v>
      </c>
      <c r="C1412" s="121" t="s">
        <v>2705</v>
      </c>
      <c r="D1412" s="109">
        <f>SUMIF(B$3:B$3844,B1412,M$3:M$3844)/(SUMIF(B$3:B$3844,B1412,J$3:J$3844))</f>
        <v>1</v>
      </c>
      <c r="E1412" s="122">
        <v>37617</v>
      </c>
      <c r="F1412" s="128" t="s">
        <v>2553</v>
      </c>
      <c r="G1412" s="128"/>
      <c r="H1412" s="117"/>
      <c r="I1412" s="129">
        <v>457</v>
      </c>
      <c r="J1412" s="130">
        <v>666</v>
      </c>
      <c r="K1412" s="118"/>
      <c r="L1412" s="119"/>
      <c r="M1412" s="110">
        <f>IF(L1412="",J1412,(MIN(#REF!,(L1412*1.6*#REF!))))</f>
        <v>666</v>
      </c>
      <c r="N1412" s="111" t="e">
        <f>IF(M1412=0,0,(M1412/#REF!))</f>
        <v>#REF!</v>
      </c>
    </row>
    <row r="1413" spans="2:14">
      <c r="B1413" s="120">
        <v>127779</v>
      </c>
      <c r="C1413" s="121" t="s">
        <v>2705</v>
      </c>
      <c r="D1413" s="109">
        <f>SUMIF(B$3:B$3844,B1413,M$3:M$3844)/(SUMIF(B$3:B$3844,B1413,J$3:J$3844))</f>
        <v>1</v>
      </c>
      <c r="E1413" s="122">
        <v>37717</v>
      </c>
      <c r="F1413" s="128" t="s">
        <v>2554</v>
      </c>
      <c r="G1413" s="128"/>
      <c r="H1413" s="117"/>
      <c r="I1413" s="129">
        <v>356</v>
      </c>
      <c r="J1413" s="130">
        <v>389</v>
      </c>
      <c r="K1413" s="118"/>
      <c r="L1413" s="119"/>
      <c r="M1413" s="110">
        <f>IF(L1413="",J1413,(MIN(#REF!,(L1413*1.6*#REF!))))</f>
        <v>389</v>
      </c>
      <c r="N1413" s="111" t="e">
        <f>IF(M1413=0,0,(M1413/#REF!))</f>
        <v>#REF!</v>
      </c>
    </row>
    <row r="1414" spans="2:14">
      <c r="B1414" s="120">
        <v>127779</v>
      </c>
      <c r="C1414" s="121" t="s">
        <v>2705</v>
      </c>
      <c r="D1414" s="109">
        <f>SUMIF(B$3:B$3844,B1414,M$3:M$3844)/(SUMIF(B$3:B$3844,B1414,J$3:J$3844))</f>
        <v>1</v>
      </c>
      <c r="E1414" s="122">
        <v>37574</v>
      </c>
      <c r="F1414" s="128" t="s">
        <v>2555</v>
      </c>
      <c r="G1414" s="128"/>
      <c r="H1414" s="117"/>
      <c r="I1414" s="129">
        <v>513</v>
      </c>
      <c r="J1414" s="130">
        <v>714</v>
      </c>
      <c r="K1414" s="118"/>
      <c r="L1414" s="119"/>
      <c r="M1414" s="110">
        <f>IF(L1414="",J1414,(MIN(#REF!,(L1414*1.6*#REF!))))</f>
        <v>714</v>
      </c>
      <c r="N1414" s="111" t="e">
        <f>IF(M1414=0,0,(M1414/#REF!))</f>
        <v>#REF!</v>
      </c>
    </row>
    <row r="1415" spans="2:14">
      <c r="B1415" s="120">
        <v>127779</v>
      </c>
      <c r="C1415" s="121" t="s">
        <v>2705</v>
      </c>
      <c r="D1415" s="109">
        <f>SUMIF(B$3:B$3844,B1415,M$3:M$3844)/(SUMIF(B$3:B$3844,B1415,J$3:J$3844))</f>
        <v>1</v>
      </c>
      <c r="E1415" s="122">
        <v>37748</v>
      </c>
      <c r="F1415" s="128" t="s">
        <v>2556</v>
      </c>
      <c r="G1415" s="128"/>
      <c r="H1415" s="117"/>
      <c r="I1415" s="129">
        <v>782</v>
      </c>
      <c r="J1415" s="130">
        <v>887</v>
      </c>
      <c r="K1415" s="118"/>
      <c r="L1415" s="119"/>
      <c r="M1415" s="110">
        <f>IF(L1415="",J1415,(MIN(#REF!,(L1415*1.6*#REF!))))</f>
        <v>887</v>
      </c>
      <c r="N1415" s="111" t="e">
        <f>IF(M1415=0,0,(M1415/#REF!))</f>
        <v>#REF!</v>
      </c>
    </row>
    <row r="1416" spans="2:14">
      <c r="B1416" s="120">
        <v>127779</v>
      </c>
      <c r="C1416" s="121" t="s">
        <v>2705</v>
      </c>
      <c r="D1416" s="109">
        <f>SUMIF(B$3:B$3844,B1416,M$3:M$3844)/(SUMIF(B$3:B$3844,B1416,J$3:J$3844))</f>
        <v>1</v>
      </c>
      <c r="E1416" s="122">
        <v>37607</v>
      </c>
      <c r="F1416" s="128" t="s">
        <v>2557</v>
      </c>
      <c r="G1416" s="128"/>
      <c r="H1416" s="117"/>
      <c r="I1416" s="129">
        <v>572</v>
      </c>
      <c r="J1416" s="130">
        <v>715</v>
      </c>
      <c r="K1416" s="118"/>
      <c r="L1416" s="119"/>
      <c r="M1416" s="110">
        <f>IF(L1416="",J1416,(MIN(#REF!,(L1416*1.6*#REF!))))</f>
        <v>715</v>
      </c>
      <c r="N1416" s="111" t="e">
        <f>IF(M1416=0,0,(M1416/#REF!))</f>
        <v>#REF!</v>
      </c>
    </row>
    <row r="1417" spans="2:14">
      <c r="B1417" s="120">
        <v>127779</v>
      </c>
      <c r="C1417" s="121" t="s">
        <v>2705</v>
      </c>
      <c r="D1417" s="109">
        <f>SUMIF(B$3:B$3844,B1417,M$3:M$3844)/(SUMIF(B$3:B$3844,B1417,J$3:J$3844))</f>
        <v>1</v>
      </c>
      <c r="E1417" s="122">
        <v>224826</v>
      </c>
      <c r="F1417" s="128" t="s">
        <v>2558</v>
      </c>
      <c r="G1417" s="128"/>
      <c r="H1417" s="117"/>
      <c r="I1417" s="129">
        <v>567</v>
      </c>
      <c r="J1417" s="130">
        <v>951</v>
      </c>
      <c r="K1417" s="118"/>
      <c r="L1417" s="119"/>
      <c r="M1417" s="110">
        <f>IF(L1417="",J1417,(MIN(#REF!,(L1417*1.6*#REF!))))</f>
        <v>951</v>
      </c>
      <c r="N1417" s="111" t="e">
        <f>IF(M1417=0,0,(M1417/#REF!))</f>
        <v>#REF!</v>
      </c>
    </row>
    <row r="1418" spans="2:14">
      <c r="B1418" s="120">
        <v>127779</v>
      </c>
      <c r="C1418" s="121" t="s">
        <v>2705</v>
      </c>
      <c r="D1418" s="109">
        <f>SUMIF(B$3:B$3844,B1418,M$3:M$3844)/(SUMIF(B$3:B$3844,B1418,J$3:J$3844))</f>
        <v>1</v>
      </c>
      <c r="E1418" s="122">
        <v>37669</v>
      </c>
      <c r="F1418" s="128" t="s">
        <v>2559</v>
      </c>
      <c r="G1418" s="128"/>
      <c r="H1418" s="117"/>
      <c r="I1418" s="129">
        <v>236</v>
      </c>
      <c r="J1418" s="130">
        <v>241</v>
      </c>
      <c r="K1418" s="118"/>
      <c r="L1418" s="119"/>
      <c r="M1418" s="110">
        <f>IF(L1418="",J1418,(MIN(#REF!,(L1418*1.6*#REF!))))</f>
        <v>241</v>
      </c>
      <c r="N1418" s="111" t="e">
        <f>IF(M1418=0,0,(M1418/#REF!))</f>
        <v>#REF!</v>
      </c>
    </row>
    <row r="1419" spans="2:14">
      <c r="B1419" s="120">
        <v>127779</v>
      </c>
      <c r="C1419" s="121" t="s">
        <v>2705</v>
      </c>
      <c r="D1419" s="109">
        <f>SUMIF(B$3:B$3844,B1419,M$3:M$3844)/(SUMIF(B$3:B$3844,B1419,J$3:J$3844))</f>
        <v>1</v>
      </c>
      <c r="E1419" s="122">
        <v>37766</v>
      </c>
      <c r="F1419" s="128" t="s">
        <v>2560</v>
      </c>
      <c r="G1419" s="128"/>
      <c r="H1419" s="117"/>
      <c r="I1419" s="129">
        <v>520</v>
      </c>
      <c r="J1419" s="130">
        <v>619</v>
      </c>
      <c r="K1419" s="118"/>
      <c r="L1419" s="119"/>
      <c r="M1419" s="110">
        <f>IF(L1419="",J1419,(MIN(#REF!,(L1419*1.6*#REF!))))</f>
        <v>619</v>
      </c>
      <c r="N1419" s="111" t="e">
        <f>IF(M1419=0,0,(M1419/#REF!))</f>
        <v>#REF!</v>
      </c>
    </row>
    <row r="1420" spans="2:14">
      <c r="B1420" s="120">
        <v>127779</v>
      </c>
      <c r="C1420" s="121" t="s">
        <v>2705</v>
      </c>
      <c r="D1420" s="109">
        <f>SUMIF(B$3:B$3844,B1420,M$3:M$3844)/(SUMIF(B$3:B$3844,B1420,J$3:J$3844))</f>
        <v>1</v>
      </c>
      <c r="E1420" s="122">
        <v>37551</v>
      </c>
      <c r="F1420" s="128" t="s">
        <v>2561</v>
      </c>
      <c r="G1420" s="128"/>
      <c r="H1420" s="117"/>
      <c r="I1420" s="129">
        <v>669</v>
      </c>
      <c r="J1420" s="130">
        <v>678</v>
      </c>
      <c r="K1420" s="118"/>
      <c r="L1420" s="119"/>
      <c r="M1420" s="110">
        <f>IF(L1420="",J1420,(MIN(#REF!,(L1420*1.6*#REF!))))</f>
        <v>678</v>
      </c>
      <c r="N1420" s="111" t="e">
        <f>IF(M1420=0,0,(M1420/#REF!))</f>
        <v>#REF!</v>
      </c>
    </row>
    <row r="1421" spans="2:14">
      <c r="B1421" s="120">
        <v>127779</v>
      </c>
      <c r="C1421" s="121" t="s">
        <v>2705</v>
      </c>
      <c r="D1421" s="109">
        <f>SUMIF(B$3:B$3844,B1421,M$3:M$3844)/(SUMIF(B$3:B$3844,B1421,J$3:J$3844))</f>
        <v>1</v>
      </c>
      <c r="E1421" s="122"/>
      <c r="F1421" s="128" t="s">
        <v>2562</v>
      </c>
      <c r="G1421" s="128"/>
      <c r="H1421" s="117"/>
      <c r="I1421" s="129">
        <v>59</v>
      </c>
      <c r="J1421" s="130">
        <v>81</v>
      </c>
      <c r="K1421" s="118"/>
      <c r="L1421" s="119"/>
      <c r="M1421" s="110">
        <f>IF(L1421="",J1421,(MIN(#REF!,(L1421*1.6*#REF!))))</f>
        <v>81</v>
      </c>
      <c r="N1421" s="111" t="e">
        <f>IF(M1421=0,0,(M1421/#REF!))</f>
        <v>#REF!</v>
      </c>
    </row>
    <row r="1422" spans="2:14">
      <c r="B1422" s="120">
        <v>127779</v>
      </c>
      <c r="C1422" s="121" t="s">
        <v>2705</v>
      </c>
      <c r="D1422" s="109">
        <f>SUMIF(B$3:B$3844,B1422,M$3:M$3844)/(SUMIF(B$3:B$3844,B1422,J$3:J$3844))</f>
        <v>1</v>
      </c>
      <c r="E1422" s="122">
        <v>37688</v>
      </c>
      <c r="F1422" s="128" t="s">
        <v>2563</v>
      </c>
      <c r="G1422" s="128"/>
      <c r="H1422" s="117"/>
      <c r="I1422" s="129">
        <v>240</v>
      </c>
      <c r="J1422" s="130">
        <v>274</v>
      </c>
      <c r="K1422" s="118"/>
      <c r="L1422" s="119"/>
      <c r="M1422" s="110">
        <f>IF(L1422="",J1422,(MIN(#REF!,(L1422*1.6*#REF!))))</f>
        <v>274</v>
      </c>
      <c r="N1422" s="111" t="e">
        <f>IF(M1422=0,0,(M1422/#REF!))</f>
        <v>#REF!</v>
      </c>
    </row>
    <row r="1423" spans="2:14">
      <c r="B1423" s="120">
        <v>127779</v>
      </c>
      <c r="C1423" s="121" t="s">
        <v>2705</v>
      </c>
      <c r="D1423" s="109">
        <f>SUMIF(B$3:B$3844,B1423,M$3:M$3844)/(SUMIF(B$3:B$3844,B1423,J$3:J$3844))</f>
        <v>1</v>
      </c>
      <c r="E1423" s="122">
        <v>37590</v>
      </c>
      <c r="F1423" s="128" t="s">
        <v>2564</v>
      </c>
      <c r="G1423" s="128"/>
      <c r="H1423" s="117"/>
      <c r="I1423" s="129">
        <v>1145</v>
      </c>
      <c r="J1423" s="130">
        <v>2415</v>
      </c>
      <c r="K1423" s="118"/>
      <c r="L1423" s="119"/>
      <c r="M1423" s="110">
        <f>IF(L1423="",J1423,(MIN(#REF!,(L1423*1.6*#REF!))))</f>
        <v>2415</v>
      </c>
      <c r="N1423" s="111" t="e">
        <f>IF(M1423=0,0,(M1423/#REF!))</f>
        <v>#REF!</v>
      </c>
    </row>
    <row r="1424" spans="2:14">
      <c r="B1424" s="120">
        <v>127779</v>
      </c>
      <c r="C1424" s="121" t="s">
        <v>2705</v>
      </c>
      <c r="D1424" s="109">
        <f>SUMIF(B$3:B$3844,B1424,M$3:M$3844)/(SUMIF(B$3:B$3844,B1424,J$3:J$3844))</f>
        <v>1</v>
      </c>
      <c r="E1424" s="122">
        <v>37555</v>
      </c>
      <c r="F1424" s="128" t="s">
        <v>2565</v>
      </c>
      <c r="G1424" s="128"/>
      <c r="H1424" s="117"/>
      <c r="I1424" s="129">
        <v>1352</v>
      </c>
      <c r="J1424" s="130">
        <v>2403</v>
      </c>
      <c r="K1424" s="118"/>
      <c r="L1424" s="119"/>
      <c r="M1424" s="110">
        <f>IF(L1424="",J1424,(MIN(#REF!,(L1424*1.6*#REF!))))</f>
        <v>2403</v>
      </c>
      <c r="N1424" s="111" t="e">
        <f>IF(M1424=0,0,(M1424/#REF!))</f>
        <v>#REF!</v>
      </c>
    </row>
    <row r="1425" spans="2:14">
      <c r="B1425" s="120">
        <v>127779</v>
      </c>
      <c r="C1425" s="121" t="s">
        <v>2705</v>
      </c>
      <c r="D1425" s="109">
        <f>SUMIF(B$3:B$3844,B1425,M$3:M$3844)/(SUMIF(B$3:B$3844,B1425,J$3:J$3844))</f>
        <v>1</v>
      </c>
      <c r="E1425" s="122">
        <v>37553</v>
      </c>
      <c r="F1425" s="128" t="s">
        <v>2566</v>
      </c>
      <c r="G1425" s="128"/>
      <c r="H1425" s="117"/>
      <c r="I1425" s="129">
        <v>783</v>
      </c>
      <c r="J1425" s="130">
        <v>1204</v>
      </c>
      <c r="K1425" s="118"/>
      <c r="L1425" s="119"/>
      <c r="M1425" s="110">
        <f>IF(L1425="",J1425,(MIN(#REF!,(L1425*1.6*#REF!))))</f>
        <v>1204</v>
      </c>
      <c r="N1425" s="111" t="e">
        <f>IF(M1425=0,0,(M1425/#REF!))</f>
        <v>#REF!</v>
      </c>
    </row>
    <row r="1426" spans="2:14">
      <c r="B1426" s="120">
        <v>127779</v>
      </c>
      <c r="C1426" s="121" t="s">
        <v>2705</v>
      </c>
      <c r="D1426" s="109">
        <f>SUMIF(B$3:B$3844,B1426,M$3:M$3844)/(SUMIF(B$3:B$3844,B1426,J$3:J$3844))</f>
        <v>1</v>
      </c>
      <c r="E1426" s="122">
        <v>37710</v>
      </c>
      <c r="F1426" s="128" t="s">
        <v>2567</v>
      </c>
      <c r="G1426" s="128"/>
      <c r="H1426" s="117"/>
      <c r="I1426" s="129">
        <v>474</v>
      </c>
      <c r="J1426" s="130">
        <v>494</v>
      </c>
      <c r="K1426" s="118"/>
      <c r="L1426" s="119"/>
      <c r="M1426" s="110">
        <f>IF(L1426="",J1426,(MIN(#REF!,(L1426*1.6*#REF!))))</f>
        <v>494</v>
      </c>
      <c r="N1426" s="111" t="e">
        <f>IF(M1426=0,0,(M1426/#REF!))</f>
        <v>#REF!</v>
      </c>
    </row>
    <row r="1427" spans="2:14">
      <c r="B1427" s="120">
        <v>127779</v>
      </c>
      <c r="C1427" s="121" t="s">
        <v>2705</v>
      </c>
      <c r="D1427" s="109">
        <f>SUMIF(B$3:B$3844,B1427,M$3:M$3844)/(SUMIF(B$3:B$3844,B1427,J$3:J$3844))</f>
        <v>1</v>
      </c>
      <c r="E1427" s="122">
        <v>37751</v>
      </c>
      <c r="F1427" s="128" t="s">
        <v>2568</v>
      </c>
      <c r="G1427" s="128"/>
      <c r="H1427" s="117"/>
      <c r="I1427" s="129">
        <v>521</v>
      </c>
      <c r="J1427" s="130">
        <v>574</v>
      </c>
      <c r="K1427" s="118"/>
      <c r="L1427" s="119"/>
      <c r="M1427" s="110">
        <f>IF(L1427="",J1427,(MIN(#REF!,(L1427*1.6*#REF!))))</f>
        <v>574</v>
      </c>
      <c r="N1427" s="111" t="e">
        <f>IF(M1427=0,0,(M1427/#REF!))</f>
        <v>#REF!</v>
      </c>
    </row>
    <row r="1428" spans="2:14">
      <c r="B1428" s="120">
        <v>127779</v>
      </c>
      <c r="C1428" s="121" t="s">
        <v>2705</v>
      </c>
      <c r="D1428" s="109">
        <f>SUMIF(B$3:B$3844,B1428,M$3:M$3844)/(SUMIF(B$3:B$3844,B1428,J$3:J$3844))</f>
        <v>1</v>
      </c>
      <c r="E1428" s="122">
        <v>37809</v>
      </c>
      <c r="F1428" s="128" t="s">
        <v>2569</v>
      </c>
      <c r="G1428" s="128"/>
      <c r="H1428" s="117"/>
      <c r="I1428" s="129">
        <v>407</v>
      </c>
      <c r="J1428" s="130">
        <v>676</v>
      </c>
      <c r="K1428" s="118"/>
      <c r="L1428" s="119"/>
      <c r="M1428" s="110">
        <f>IF(L1428="",J1428,(MIN(#REF!,(L1428*1.6*#REF!))))</f>
        <v>676</v>
      </c>
      <c r="N1428" s="111" t="e">
        <f>IF(M1428=0,0,(M1428/#REF!))</f>
        <v>#REF!</v>
      </c>
    </row>
    <row r="1429" spans="2:14">
      <c r="B1429" s="120">
        <v>127779</v>
      </c>
      <c r="C1429" s="121" t="s">
        <v>2705</v>
      </c>
      <c r="D1429" s="109">
        <f>SUMIF(B$3:B$3844,B1429,M$3:M$3844)/(SUMIF(B$3:B$3844,B1429,J$3:J$3844))</f>
        <v>1</v>
      </c>
      <c r="E1429" s="122">
        <v>230482</v>
      </c>
      <c r="F1429" s="128" t="s">
        <v>2570</v>
      </c>
      <c r="G1429" s="128"/>
      <c r="H1429" s="117"/>
      <c r="I1429" s="129">
        <v>352</v>
      </c>
      <c r="J1429" s="130">
        <v>1363</v>
      </c>
      <c r="K1429" s="118"/>
      <c r="L1429" s="119"/>
      <c r="M1429" s="110">
        <f>IF(L1429="",J1429,(MIN(#REF!,(L1429*1.6*#REF!))))</f>
        <v>1363</v>
      </c>
      <c r="N1429" s="111" t="e">
        <f>IF(M1429=0,0,(M1429/#REF!))</f>
        <v>#REF!</v>
      </c>
    </row>
    <row r="1430" spans="2:14">
      <c r="B1430" s="120">
        <v>127779</v>
      </c>
      <c r="C1430" s="121" t="s">
        <v>2705</v>
      </c>
      <c r="D1430" s="109">
        <f>SUMIF(B$3:B$3844,B1430,M$3:M$3844)/(SUMIF(B$3:B$3844,B1430,J$3:J$3844))</f>
        <v>1</v>
      </c>
      <c r="E1430" s="122">
        <v>37624</v>
      </c>
      <c r="F1430" s="128" t="s">
        <v>2571</v>
      </c>
      <c r="G1430" s="128"/>
      <c r="H1430" s="117"/>
      <c r="I1430" s="129">
        <v>517</v>
      </c>
      <c r="J1430" s="130">
        <v>587</v>
      </c>
      <c r="K1430" s="118"/>
      <c r="L1430" s="119"/>
      <c r="M1430" s="110">
        <f>IF(L1430="",J1430,(MIN(#REF!,(L1430*1.6*#REF!))))</f>
        <v>587</v>
      </c>
      <c r="N1430" s="111" t="e">
        <f>IF(M1430=0,0,(M1430/#REF!))</f>
        <v>#REF!</v>
      </c>
    </row>
    <row r="1431" spans="2:14">
      <c r="B1431" s="120">
        <v>127779</v>
      </c>
      <c r="C1431" s="121" t="s">
        <v>2705</v>
      </c>
      <c r="D1431" s="109">
        <f>SUMIF(B$3:B$3844,B1431,M$3:M$3844)/(SUMIF(B$3:B$3844,B1431,J$3:J$3844))</f>
        <v>1</v>
      </c>
      <c r="E1431" s="122">
        <v>37704</v>
      </c>
      <c r="F1431" s="128" t="s">
        <v>2572</v>
      </c>
      <c r="G1431" s="128"/>
      <c r="H1431" s="117"/>
      <c r="I1431" s="129">
        <v>462</v>
      </c>
      <c r="J1431" s="130">
        <v>494</v>
      </c>
      <c r="K1431" s="118"/>
      <c r="L1431" s="119"/>
      <c r="M1431" s="110">
        <f>IF(L1431="",J1431,(MIN(#REF!,(L1431*1.6*#REF!))))</f>
        <v>494</v>
      </c>
      <c r="N1431" s="111" t="e">
        <f>IF(M1431=0,0,(M1431/#REF!))</f>
        <v>#REF!</v>
      </c>
    </row>
    <row r="1432" spans="2:14">
      <c r="B1432" s="120">
        <v>127779</v>
      </c>
      <c r="C1432" s="121" t="s">
        <v>2705</v>
      </c>
      <c r="D1432" s="109">
        <f>SUMIF(B$3:B$3844,B1432,M$3:M$3844)/(SUMIF(B$3:B$3844,B1432,J$3:J$3844))</f>
        <v>1</v>
      </c>
      <c r="E1432" s="122">
        <v>37698</v>
      </c>
      <c r="F1432" s="128" t="s">
        <v>2573</v>
      </c>
      <c r="G1432" s="128"/>
      <c r="H1432" s="117"/>
      <c r="I1432" s="129">
        <v>418</v>
      </c>
      <c r="J1432" s="130">
        <v>453</v>
      </c>
      <c r="K1432" s="118"/>
      <c r="L1432" s="119"/>
      <c r="M1432" s="110">
        <f>IF(L1432="",J1432,(MIN(#REF!,(L1432*1.6*#REF!))))</f>
        <v>453</v>
      </c>
      <c r="N1432" s="111" t="e">
        <f>IF(M1432=0,0,(M1432/#REF!))</f>
        <v>#REF!</v>
      </c>
    </row>
    <row r="1433" spans="2:14">
      <c r="B1433" s="120">
        <v>127779</v>
      </c>
      <c r="C1433" s="121" t="s">
        <v>2705</v>
      </c>
      <c r="D1433" s="109">
        <f>SUMIF(B$3:B$3844,B1433,M$3:M$3844)/(SUMIF(B$3:B$3844,B1433,J$3:J$3844))</f>
        <v>1</v>
      </c>
      <c r="E1433" s="122">
        <v>37663</v>
      </c>
      <c r="F1433" s="128" t="s">
        <v>2574</v>
      </c>
      <c r="G1433" s="128"/>
      <c r="H1433" s="117"/>
      <c r="I1433" s="129">
        <v>1220</v>
      </c>
      <c r="J1433" s="130">
        <v>2134</v>
      </c>
      <c r="K1433" s="118"/>
      <c r="L1433" s="119"/>
      <c r="M1433" s="110">
        <f>IF(L1433="",J1433,(MIN(#REF!,(L1433*1.6*#REF!))))</f>
        <v>2134</v>
      </c>
      <c r="N1433" s="111" t="e">
        <f>IF(M1433=0,0,(M1433/#REF!))</f>
        <v>#REF!</v>
      </c>
    </row>
    <row r="1434" spans="2:14">
      <c r="B1434" s="120">
        <v>127779</v>
      </c>
      <c r="C1434" s="121" t="s">
        <v>2705</v>
      </c>
      <c r="D1434" s="109">
        <f>SUMIF(B$3:B$3844,B1434,M$3:M$3844)/(SUMIF(B$3:B$3844,B1434,J$3:J$3844))</f>
        <v>1</v>
      </c>
      <c r="E1434" s="122">
        <v>230483</v>
      </c>
      <c r="F1434" s="128" t="s">
        <v>2575</v>
      </c>
      <c r="G1434" s="128"/>
      <c r="H1434" s="117"/>
      <c r="I1434" s="129">
        <v>322</v>
      </c>
      <c r="J1434" s="130">
        <v>501</v>
      </c>
      <c r="K1434" s="118"/>
      <c r="L1434" s="119"/>
      <c r="M1434" s="110">
        <f>IF(L1434="",J1434,(MIN(#REF!,(L1434*1.6*#REF!))))</f>
        <v>501</v>
      </c>
      <c r="N1434" s="111" t="e">
        <f>IF(M1434=0,0,(M1434/#REF!))</f>
        <v>#REF!</v>
      </c>
    </row>
    <row r="1435" spans="2:14">
      <c r="B1435" s="120">
        <v>127779</v>
      </c>
      <c r="C1435" s="121" t="s">
        <v>2705</v>
      </c>
      <c r="D1435" s="109">
        <f>SUMIF(B$3:B$3844,B1435,M$3:M$3844)/(SUMIF(B$3:B$3844,B1435,J$3:J$3844))</f>
        <v>1</v>
      </c>
      <c r="E1435" s="122">
        <v>37789</v>
      </c>
      <c r="F1435" s="128" t="s">
        <v>2576</v>
      </c>
      <c r="G1435" s="128"/>
      <c r="H1435" s="117"/>
      <c r="I1435" s="129">
        <v>1076</v>
      </c>
      <c r="J1435" s="130">
        <v>2125</v>
      </c>
      <c r="K1435" s="118"/>
      <c r="L1435" s="119"/>
      <c r="M1435" s="110">
        <f>IF(L1435="",J1435,(MIN(#REF!,(L1435*1.6*#REF!))))</f>
        <v>2125</v>
      </c>
      <c r="N1435" s="111" t="e">
        <f>IF(M1435=0,0,(M1435/#REF!))</f>
        <v>#REF!</v>
      </c>
    </row>
    <row r="1436" spans="2:14">
      <c r="B1436" s="120">
        <v>127779</v>
      </c>
      <c r="C1436" s="121" t="s">
        <v>2705</v>
      </c>
      <c r="D1436" s="109">
        <f>SUMIF(B$3:B$3844,B1436,M$3:M$3844)/(SUMIF(B$3:B$3844,B1436,J$3:J$3844))</f>
        <v>1</v>
      </c>
      <c r="E1436" s="122">
        <v>37552</v>
      </c>
      <c r="F1436" s="128" t="s">
        <v>2577</v>
      </c>
      <c r="G1436" s="128"/>
      <c r="H1436" s="117"/>
      <c r="I1436" s="129">
        <v>572</v>
      </c>
      <c r="J1436" s="130">
        <v>612</v>
      </c>
      <c r="K1436" s="118"/>
      <c r="L1436" s="119"/>
      <c r="M1436" s="110">
        <f>IF(L1436="",J1436,(MIN(#REF!,(L1436*1.6*#REF!))))</f>
        <v>612</v>
      </c>
      <c r="N1436" s="111" t="e">
        <f>IF(M1436=0,0,(M1436/#REF!))</f>
        <v>#REF!</v>
      </c>
    </row>
    <row r="1437" spans="2:14">
      <c r="B1437" s="120">
        <v>127779</v>
      </c>
      <c r="C1437" s="121" t="s">
        <v>2705</v>
      </c>
      <c r="D1437" s="109">
        <f>SUMIF(B$3:B$3844,B1437,M$3:M$3844)/(SUMIF(B$3:B$3844,B1437,J$3:J$3844))</f>
        <v>1</v>
      </c>
      <c r="E1437" s="122">
        <v>37673</v>
      </c>
      <c r="F1437" s="128" t="s">
        <v>2578</v>
      </c>
      <c r="G1437" s="128"/>
      <c r="H1437" s="117"/>
      <c r="I1437" s="129">
        <v>95</v>
      </c>
      <c r="J1437" s="130">
        <v>568</v>
      </c>
      <c r="K1437" s="118"/>
      <c r="L1437" s="119"/>
      <c r="M1437" s="110">
        <f>IF(L1437="",J1437,(MIN(#REF!,(L1437*1.6*#REF!))))</f>
        <v>568</v>
      </c>
      <c r="N1437" s="111" t="e">
        <f>IF(M1437=0,0,(M1437/#REF!))</f>
        <v>#REF!</v>
      </c>
    </row>
    <row r="1438" spans="2:14">
      <c r="B1438" s="120">
        <v>127779</v>
      </c>
      <c r="C1438" s="121" t="s">
        <v>2705</v>
      </c>
      <c r="D1438" s="109">
        <f>SUMIF(B$3:B$3844,B1438,M$3:M$3844)/(SUMIF(B$3:B$3844,B1438,J$3:J$3844))</f>
        <v>1</v>
      </c>
      <c r="E1438" s="122">
        <v>37816</v>
      </c>
      <c r="F1438" s="128" t="s">
        <v>2579</v>
      </c>
      <c r="G1438" s="128"/>
      <c r="H1438" s="117"/>
      <c r="I1438" s="129">
        <v>175</v>
      </c>
      <c r="J1438" s="130">
        <v>453</v>
      </c>
      <c r="K1438" s="118"/>
      <c r="L1438" s="119"/>
      <c r="M1438" s="110">
        <f>IF(L1438="",J1438,(MIN(#REF!,(L1438*1.6*#REF!))))</f>
        <v>453</v>
      </c>
      <c r="N1438" s="111" t="e">
        <f>IF(M1438=0,0,(M1438/#REF!))</f>
        <v>#REF!</v>
      </c>
    </row>
    <row r="1439" spans="2:14">
      <c r="B1439" s="120">
        <v>127779</v>
      </c>
      <c r="C1439" s="121" t="s">
        <v>2705</v>
      </c>
      <c r="D1439" s="109">
        <f>SUMIF(B$3:B$3844,B1439,M$3:M$3844)/(SUMIF(B$3:B$3844,B1439,J$3:J$3844))</f>
        <v>1</v>
      </c>
      <c r="E1439" s="122">
        <v>37635</v>
      </c>
      <c r="F1439" s="128" t="s">
        <v>2580</v>
      </c>
      <c r="G1439" s="128"/>
      <c r="H1439" s="117"/>
      <c r="I1439" s="129">
        <v>389</v>
      </c>
      <c r="J1439" s="130">
        <v>401</v>
      </c>
      <c r="K1439" s="118"/>
      <c r="L1439" s="119"/>
      <c r="M1439" s="110">
        <f>IF(L1439="",J1439,(MIN(#REF!,(L1439*1.6*#REF!))))</f>
        <v>401</v>
      </c>
      <c r="N1439" s="111" t="e">
        <f>IF(M1439=0,0,(M1439/#REF!))</f>
        <v>#REF!</v>
      </c>
    </row>
    <row r="1440" spans="2:14">
      <c r="B1440" s="120">
        <v>127779</v>
      </c>
      <c r="C1440" s="121" t="s">
        <v>2705</v>
      </c>
      <c r="D1440" s="109">
        <f>SUMIF(B$3:B$3844,B1440,M$3:M$3844)/(SUMIF(B$3:B$3844,B1440,J$3:J$3844))</f>
        <v>1</v>
      </c>
      <c r="E1440" s="122">
        <v>37758</v>
      </c>
      <c r="F1440" s="128" t="s">
        <v>2581</v>
      </c>
      <c r="G1440" s="128"/>
      <c r="H1440" s="117"/>
      <c r="I1440" s="129">
        <v>565</v>
      </c>
      <c r="J1440" s="130">
        <v>671</v>
      </c>
      <c r="K1440" s="118"/>
      <c r="L1440" s="119"/>
      <c r="M1440" s="110">
        <f>IF(L1440="",J1440,(MIN(#REF!,(L1440*1.6*#REF!))))</f>
        <v>671</v>
      </c>
      <c r="N1440" s="111" t="e">
        <f>IF(M1440=0,0,(M1440/#REF!))</f>
        <v>#REF!</v>
      </c>
    </row>
    <row r="1441" spans="2:14">
      <c r="B1441" s="120">
        <v>127779</v>
      </c>
      <c r="C1441" s="121" t="s">
        <v>2705</v>
      </c>
      <c r="D1441" s="109">
        <f>SUMIF(B$3:B$3844,B1441,M$3:M$3844)/(SUMIF(B$3:B$3844,B1441,J$3:J$3844))</f>
        <v>1</v>
      </c>
      <c r="E1441" s="122">
        <v>37774</v>
      </c>
      <c r="F1441" s="128" t="s">
        <v>2582</v>
      </c>
      <c r="G1441" s="128"/>
      <c r="H1441" s="117"/>
      <c r="I1441" s="129">
        <v>629</v>
      </c>
      <c r="J1441" s="130">
        <v>719</v>
      </c>
      <c r="K1441" s="118"/>
      <c r="L1441" s="119"/>
      <c r="M1441" s="110">
        <f>IF(L1441="",J1441,(MIN(#REF!,(L1441*1.6*#REF!))))</f>
        <v>719</v>
      </c>
      <c r="N1441" s="111" t="e">
        <f>IF(M1441=0,0,(M1441/#REF!))</f>
        <v>#REF!</v>
      </c>
    </row>
    <row r="1442" spans="2:14">
      <c r="B1442" s="120">
        <v>127779</v>
      </c>
      <c r="C1442" s="121" t="s">
        <v>2705</v>
      </c>
      <c r="D1442" s="109">
        <f>SUMIF(B$3:B$3844,B1442,M$3:M$3844)/(SUMIF(B$3:B$3844,B1442,J$3:J$3844))</f>
        <v>1</v>
      </c>
      <c r="E1442" s="122">
        <v>234469</v>
      </c>
      <c r="F1442" s="128" t="s">
        <v>2583</v>
      </c>
      <c r="G1442" s="128"/>
      <c r="H1442" s="117"/>
      <c r="I1442" s="129">
        <v>328</v>
      </c>
      <c r="J1442" s="130">
        <v>672</v>
      </c>
      <c r="K1442" s="118"/>
      <c r="L1442" s="119"/>
      <c r="M1442" s="110">
        <f>IF(L1442="",J1442,(MIN(#REF!,(L1442*1.6*#REF!))))</f>
        <v>672</v>
      </c>
      <c r="N1442" s="111" t="e">
        <f>IF(M1442=0,0,(M1442/#REF!))</f>
        <v>#REF!</v>
      </c>
    </row>
    <row r="1443" spans="2:14">
      <c r="B1443" s="120">
        <v>127779</v>
      </c>
      <c r="C1443" s="121" t="s">
        <v>2705</v>
      </c>
      <c r="D1443" s="109">
        <f>SUMIF(B$3:B$3844,B1443,M$3:M$3844)/(SUMIF(B$3:B$3844,B1443,J$3:J$3844))</f>
        <v>1</v>
      </c>
      <c r="E1443" s="122">
        <v>37807</v>
      </c>
      <c r="F1443" s="128" t="s">
        <v>2584</v>
      </c>
      <c r="G1443" s="128"/>
      <c r="H1443" s="117"/>
      <c r="I1443" s="129">
        <v>487</v>
      </c>
      <c r="J1443" s="130">
        <v>834</v>
      </c>
      <c r="K1443" s="118"/>
      <c r="L1443" s="119"/>
      <c r="M1443" s="110">
        <f>IF(L1443="",J1443,(MIN(#REF!,(L1443*1.6*#REF!))))</f>
        <v>834</v>
      </c>
      <c r="N1443" s="111" t="e">
        <f>IF(M1443=0,0,(M1443/#REF!))</f>
        <v>#REF!</v>
      </c>
    </row>
    <row r="1444" spans="2:14">
      <c r="B1444" s="120">
        <v>127779</v>
      </c>
      <c r="C1444" s="121" t="s">
        <v>2705</v>
      </c>
      <c r="D1444" s="109">
        <f>SUMIF(B$3:B$3844,B1444,M$3:M$3844)/(SUMIF(B$3:B$3844,B1444,J$3:J$3844))</f>
        <v>1</v>
      </c>
      <c r="E1444" s="122">
        <v>37645</v>
      </c>
      <c r="F1444" s="128" t="s">
        <v>2585</v>
      </c>
      <c r="G1444" s="128"/>
      <c r="H1444" s="117"/>
      <c r="I1444" s="129">
        <v>1304</v>
      </c>
      <c r="J1444" s="130">
        <v>1981</v>
      </c>
      <c r="K1444" s="118"/>
      <c r="L1444" s="119"/>
      <c r="M1444" s="110">
        <f>IF(L1444="",J1444,(MIN(#REF!,(L1444*1.6*#REF!))))</f>
        <v>1981</v>
      </c>
      <c r="N1444" s="111" t="e">
        <f>IF(M1444=0,0,(M1444/#REF!))</f>
        <v>#REF!</v>
      </c>
    </row>
    <row r="1445" spans="2:14">
      <c r="B1445" s="120">
        <v>127779</v>
      </c>
      <c r="C1445" s="121" t="s">
        <v>2705</v>
      </c>
      <c r="D1445" s="109">
        <f>SUMIF(B$3:B$3844,B1445,M$3:M$3844)/(SUMIF(B$3:B$3844,B1445,J$3:J$3844))</f>
        <v>1</v>
      </c>
      <c r="E1445" s="122">
        <v>212095</v>
      </c>
      <c r="F1445" s="128" t="s">
        <v>2586</v>
      </c>
      <c r="G1445" s="128"/>
      <c r="H1445" s="117"/>
      <c r="I1445" s="129">
        <v>526</v>
      </c>
      <c r="J1445" s="130">
        <v>822</v>
      </c>
      <c r="K1445" s="118"/>
      <c r="L1445" s="119"/>
      <c r="M1445" s="110">
        <f>IF(L1445="",J1445,(MIN(#REF!,(L1445*1.6*#REF!))))</f>
        <v>822</v>
      </c>
      <c r="N1445" s="111" t="e">
        <f>IF(M1445=0,0,(M1445/#REF!))</f>
        <v>#REF!</v>
      </c>
    </row>
    <row r="1446" spans="2:14">
      <c r="B1446" s="120">
        <v>127779</v>
      </c>
      <c r="C1446" s="121" t="s">
        <v>2705</v>
      </c>
      <c r="D1446" s="109">
        <f>SUMIF(B$3:B$3844,B1446,M$3:M$3844)/(SUMIF(B$3:B$3844,B1446,J$3:J$3844))</f>
        <v>1</v>
      </c>
      <c r="E1446" s="122">
        <v>230481</v>
      </c>
      <c r="F1446" s="128" t="s">
        <v>2587</v>
      </c>
      <c r="G1446" s="128"/>
      <c r="H1446" s="117"/>
      <c r="I1446" s="129">
        <v>442</v>
      </c>
      <c r="J1446" s="130">
        <v>520</v>
      </c>
      <c r="K1446" s="118"/>
      <c r="L1446" s="119"/>
      <c r="M1446" s="110">
        <f>IF(L1446="",J1446,(MIN(#REF!,(L1446*1.6*#REF!))))</f>
        <v>520</v>
      </c>
      <c r="N1446" s="111" t="e">
        <f>IF(M1446=0,0,(M1446/#REF!))</f>
        <v>#REF!</v>
      </c>
    </row>
    <row r="1447" spans="2:14">
      <c r="B1447" s="120">
        <v>127779</v>
      </c>
      <c r="C1447" s="121" t="s">
        <v>2705</v>
      </c>
      <c r="D1447" s="109">
        <f>SUMIF(B$3:B$3844,B1447,M$3:M$3844)/(SUMIF(B$3:B$3844,B1447,J$3:J$3844))</f>
        <v>1</v>
      </c>
      <c r="E1447" s="122">
        <v>37580</v>
      </c>
      <c r="F1447" s="128" t="s">
        <v>2588</v>
      </c>
      <c r="G1447" s="128"/>
      <c r="H1447" s="117"/>
      <c r="I1447" s="129">
        <v>493</v>
      </c>
      <c r="J1447" s="130">
        <v>537</v>
      </c>
      <c r="K1447" s="118"/>
      <c r="L1447" s="119"/>
      <c r="M1447" s="110">
        <f>IF(L1447="",J1447,(MIN(#REF!,(L1447*1.6*#REF!))))</f>
        <v>537</v>
      </c>
      <c r="N1447" s="111" t="e">
        <f>IF(M1447=0,0,(M1447/#REF!))</f>
        <v>#REF!</v>
      </c>
    </row>
    <row r="1448" spans="2:14">
      <c r="B1448" s="120">
        <v>127779</v>
      </c>
      <c r="C1448" s="121" t="s">
        <v>2705</v>
      </c>
      <c r="D1448" s="109">
        <f>SUMIF(B$3:B$3844,B1448,M$3:M$3844)/(SUMIF(B$3:B$3844,B1448,J$3:J$3844))</f>
        <v>1</v>
      </c>
      <c r="E1448" s="122">
        <v>234466</v>
      </c>
      <c r="F1448" s="128" t="s">
        <v>2589</v>
      </c>
      <c r="G1448" s="128"/>
      <c r="H1448" s="117"/>
      <c r="I1448" s="129">
        <v>633</v>
      </c>
      <c r="J1448" s="130">
        <v>709</v>
      </c>
      <c r="K1448" s="118"/>
      <c r="L1448" s="119"/>
      <c r="M1448" s="110">
        <f>IF(L1448="",J1448,(MIN(#REF!,(L1448*1.6*#REF!))))</f>
        <v>709</v>
      </c>
      <c r="N1448" s="111" t="e">
        <f>IF(M1448=0,0,(M1448/#REF!))</f>
        <v>#REF!</v>
      </c>
    </row>
    <row r="1449" spans="2:14">
      <c r="B1449" s="120">
        <v>127779</v>
      </c>
      <c r="C1449" s="121" t="s">
        <v>2705</v>
      </c>
      <c r="D1449" s="109">
        <f>SUMIF(B$3:B$3844,B1449,M$3:M$3844)/(SUMIF(B$3:B$3844,B1449,J$3:J$3844))</f>
        <v>1</v>
      </c>
      <c r="E1449" s="122">
        <v>37795</v>
      </c>
      <c r="F1449" s="128" t="s">
        <v>2590</v>
      </c>
      <c r="G1449" s="128"/>
      <c r="H1449" s="117"/>
      <c r="I1449" s="129">
        <v>543</v>
      </c>
      <c r="J1449" s="130">
        <v>573</v>
      </c>
      <c r="K1449" s="118"/>
      <c r="L1449" s="119"/>
      <c r="M1449" s="110">
        <f>IF(L1449="",J1449,(MIN(#REF!,(L1449*1.6*#REF!))))</f>
        <v>573</v>
      </c>
      <c r="N1449" s="111" t="e">
        <f>IF(M1449=0,0,(M1449/#REF!))</f>
        <v>#REF!</v>
      </c>
    </row>
    <row r="1450" spans="2:14">
      <c r="B1450" s="120">
        <v>127779</v>
      </c>
      <c r="C1450" s="121" t="s">
        <v>2705</v>
      </c>
      <c r="D1450" s="109">
        <f>SUMIF(B$3:B$3844,B1450,M$3:M$3844)/(SUMIF(B$3:B$3844,B1450,J$3:J$3844))</f>
        <v>1</v>
      </c>
      <c r="E1450" s="122">
        <v>37701</v>
      </c>
      <c r="F1450" s="128" t="s">
        <v>2591</v>
      </c>
      <c r="G1450" s="128"/>
      <c r="H1450" s="117"/>
      <c r="I1450" s="129">
        <v>1120</v>
      </c>
      <c r="J1450" s="130">
        <v>1858</v>
      </c>
      <c r="K1450" s="118"/>
      <c r="L1450" s="119"/>
      <c r="M1450" s="110">
        <f>IF(L1450="",J1450,(MIN(#REF!,(L1450*1.6*#REF!))))</f>
        <v>1858</v>
      </c>
      <c r="N1450" s="111" t="e">
        <f>IF(M1450=0,0,(M1450/#REF!))</f>
        <v>#REF!</v>
      </c>
    </row>
    <row r="1451" spans="2:14">
      <c r="B1451" s="120">
        <v>127779</v>
      </c>
      <c r="C1451" s="121" t="s">
        <v>2705</v>
      </c>
      <c r="D1451" s="109">
        <f>SUMIF(B$3:B$3844,B1451,M$3:M$3844)/(SUMIF(B$3:B$3844,B1451,J$3:J$3844))</f>
        <v>1</v>
      </c>
      <c r="E1451" s="122">
        <v>37533</v>
      </c>
      <c r="F1451" s="128" t="s">
        <v>2592</v>
      </c>
      <c r="G1451" s="128"/>
      <c r="H1451" s="117"/>
      <c r="I1451" s="129">
        <v>477</v>
      </c>
      <c r="J1451" s="130">
        <v>625</v>
      </c>
      <c r="K1451" s="118"/>
      <c r="L1451" s="119"/>
      <c r="M1451" s="110">
        <f>IF(L1451="",J1451,(MIN(#REF!,(L1451*1.6*#REF!))))</f>
        <v>625</v>
      </c>
      <c r="N1451" s="111" t="e">
        <f>IF(M1451=0,0,(M1451/#REF!))</f>
        <v>#REF!</v>
      </c>
    </row>
    <row r="1452" spans="2:14">
      <c r="B1452" s="120">
        <v>127779</v>
      </c>
      <c r="C1452" s="121" t="s">
        <v>2705</v>
      </c>
      <c r="D1452" s="109">
        <f>SUMIF(B$3:B$3844,B1452,M$3:M$3844)/(SUMIF(B$3:B$3844,B1452,J$3:J$3844))</f>
        <v>1</v>
      </c>
      <c r="E1452" s="122">
        <v>37575</v>
      </c>
      <c r="F1452" s="128" t="s">
        <v>2593</v>
      </c>
      <c r="G1452" s="128"/>
      <c r="H1452" s="117"/>
      <c r="I1452" s="129">
        <v>618</v>
      </c>
      <c r="J1452" s="130">
        <v>770</v>
      </c>
      <c r="K1452" s="118"/>
      <c r="L1452" s="119"/>
      <c r="M1452" s="110">
        <f>IF(L1452="",J1452,(MIN(#REF!,(L1452*1.6*#REF!))))</f>
        <v>770</v>
      </c>
      <c r="N1452" s="111" t="e">
        <f>IF(M1452=0,0,(M1452/#REF!))</f>
        <v>#REF!</v>
      </c>
    </row>
    <row r="1453" spans="2:14">
      <c r="B1453" s="120">
        <v>127779</v>
      </c>
      <c r="C1453" s="121" t="s">
        <v>2705</v>
      </c>
      <c r="D1453" s="109">
        <f>SUMIF(B$3:B$3844,B1453,M$3:M$3844)/(SUMIF(B$3:B$3844,B1453,J$3:J$3844))</f>
        <v>1</v>
      </c>
      <c r="E1453" s="122">
        <v>37732</v>
      </c>
      <c r="F1453" s="128" t="s">
        <v>2594</v>
      </c>
      <c r="G1453" s="128"/>
      <c r="H1453" s="117"/>
      <c r="I1453" s="129">
        <v>539</v>
      </c>
      <c r="J1453" s="130">
        <v>879</v>
      </c>
      <c r="K1453" s="118"/>
      <c r="L1453" s="119"/>
      <c r="M1453" s="110">
        <f>IF(L1453="",J1453,(MIN(#REF!,(L1453*1.6*#REF!))))</f>
        <v>879</v>
      </c>
      <c r="N1453" s="111" t="e">
        <f>IF(M1453=0,0,(M1453/#REF!))</f>
        <v>#REF!</v>
      </c>
    </row>
    <row r="1454" spans="2:14">
      <c r="B1454" s="120">
        <v>127779</v>
      </c>
      <c r="C1454" s="121" t="s">
        <v>2705</v>
      </c>
      <c r="D1454" s="109">
        <f>SUMIF(B$3:B$3844,B1454,M$3:M$3844)/(SUMIF(B$3:B$3844,B1454,J$3:J$3844))</f>
        <v>1</v>
      </c>
      <c r="E1454" s="122">
        <v>37768</v>
      </c>
      <c r="F1454" s="128" t="s">
        <v>2595</v>
      </c>
      <c r="G1454" s="128"/>
      <c r="H1454" s="117"/>
      <c r="I1454" s="129">
        <v>331</v>
      </c>
      <c r="J1454" s="130">
        <v>427</v>
      </c>
      <c r="K1454" s="118"/>
      <c r="L1454" s="119"/>
      <c r="M1454" s="110">
        <f>IF(L1454="",J1454,(MIN(#REF!,(L1454*1.6*#REF!))))</f>
        <v>427</v>
      </c>
      <c r="N1454" s="111" t="e">
        <f>IF(M1454=0,0,(M1454/#REF!))</f>
        <v>#REF!</v>
      </c>
    </row>
    <row r="1455" spans="2:14">
      <c r="B1455" s="120">
        <v>127779</v>
      </c>
      <c r="C1455" s="121" t="s">
        <v>2705</v>
      </c>
      <c r="D1455" s="109">
        <f>SUMIF(B$3:B$3844,B1455,M$3:M$3844)/(SUMIF(B$3:B$3844,B1455,J$3:J$3844))</f>
        <v>1</v>
      </c>
      <c r="E1455" s="122">
        <v>37769</v>
      </c>
      <c r="F1455" s="128" t="s">
        <v>2596</v>
      </c>
      <c r="G1455" s="128"/>
      <c r="H1455" s="117"/>
      <c r="I1455" s="129">
        <v>332</v>
      </c>
      <c r="J1455" s="130">
        <v>395</v>
      </c>
      <c r="K1455" s="118"/>
      <c r="L1455" s="119"/>
      <c r="M1455" s="110">
        <f>IF(L1455="",J1455,(MIN(#REF!,(L1455*1.6*#REF!))))</f>
        <v>395</v>
      </c>
      <c r="N1455" s="111" t="e">
        <f>IF(M1455=0,0,(M1455/#REF!))</f>
        <v>#REF!</v>
      </c>
    </row>
    <row r="1456" spans="2:14">
      <c r="B1456" s="120">
        <v>127779</v>
      </c>
      <c r="C1456" s="121" t="s">
        <v>2705</v>
      </c>
      <c r="D1456" s="109">
        <f>SUMIF(B$3:B$3844,B1456,M$3:M$3844)/(SUMIF(B$3:B$3844,B1456,J$3:J$3844))</f>
        <v>1</v>
      </c>
      <c r="E1456" s="122">
        <v>37637</v>
      </c>
      <c r="F1456" s="128" t="s">
        <v>2597</v>
      </c>
      <c r="G1456" s="128"/>
      <c r="H1456" s="117"/>
      <c r="I1456" s="129">
        <v>238</v>
      </c>
      <c r="J1456" s="130">
        <v>316</v>
      </c>
      <c r="K1456" s="118"/>
      <c r="L1456" s="119"/>
      <c r="M1456" s="110">
        <f>IF(L1456="",J1456,(MIN(#REF!,(L1456*1.6*#REF!))))</f>
        <v>316</v>
      </c>
      <c r="N1456" s="111" t="e">
        <f>IF(M1456=0,0,(M1456/#REF!))</f>
        <v>#REF!</v>
      </c>
    </row>
    <row r="1457" spans="2:14">
      <c r="B1457" s="120">
        <v>127779</v>
      </c>
      <c r="C1457" s="121" t="s">
        <v>2705</v>
      </c>
      <c r="D1457" s="109">
        <f>SUMIF(B$3:B$3844,B1457,M$3:M$3844)/(SUMIF(B$3:B$3844,B1457,J$3:J$3844))</f>
        <v>1</v>
      </c>
      <c r="E1457" s="122">
        <v>37750</v>
      </c>
      <c r="F1457" s="128" t="s">
        <v>2598</v>
      </c>
      <c r="G1457" s="128"/>
      <c r="H1457" s="117"/>
      <c r="I1457" s="129">
        <v>1733</v>
      </c>
      <c r="J1457" s="130">
        <v>2113</v>
      </c>
      <c r="K1457" s="118"/>
      <c r="L1457" s="119"/>
      <c r="M1457" s="110">
        <f>IF(L1457="",J1457,(MIN(#REF!,(L1457*1.6*#REF!))))</f>
        <v>2113</v>
      </c>
      <c r="N1457" s="111" t="e">
        <f>IF(M1457=0,0,(M1457/#REF!))</f>
        <v>#REF!</v>
      </c>
    </row>
    <row r="1458" spans="2:14">
      <c r="B1458" s="120">
        <v>127779</v>
      </c>
      <c r="C1458" s="121" t="s">
        <v>2705</v>
      </c>
      <c r="D1458" s="109">
        <f>SUMIF(B$3:B$3844,B1458,M$3:M$3844)/(SUMIF(B$3:B$3844,B1458,J$3:J$3844))</f>
        <v>1</v>
      </c>
      <c r="E1458" s="122">
        <v>37519</v>
      </c>
      <c r="F1458" s="128" t="s">
        <v>2599</v>
      </c>
      <c r="G1458" s="128"/>
      <c r="H1458" s="117"/>
      <c r="I1458" s="129">
        <v>323</v>
      </c>
      <c r="J1458" s="130">
        <v>585</v>
      </c>
      <c r="K1458" s="118"/>
      <c r="L1458" s="119"/>
      <c r="M1458" s="110">
        <f>IF(L1458="",J1458,(MIN(#REF!,(L1458*1.6*#REF!))))</f>
        <v>585</v>
      </c>
      <c r="N1458" s="111" t="e">
        <f>IF(M1458=0,0,(M1458/#REF!))</f>
        <v>#REF!</v>
      </c>
    </row>
    <row r="1459" spans="2:14">
      <c r="B1459" s="120">
        <v>127779</v>
      </c>
      <c r="C1459" s="121" t="s">
        <v>2705</v>
      </c>
      <c r="D1459" s="109">
        <f>SUMIF(B$3:B$3844,B1459,M$3:M$3844)/(SUMIF(B$3:B$3844,B1459,J$3:J$3844))</f>
        <v>1</v>
      </c>
      <c r="E1459" s="122">
        <v>37582</v>
      </c>
      <c r="F1459" s="128" t="s">
        <v>2600</v>
      </c>
      <c r="G1459" s="128"/>
      <c r="H1459" s="117"/>
      <c r="I1459" s="129">
        <v>260</v>
      </c>
      <c r="J1459" s="130">
        <v>425</v>
      </c>
      <c r="K1459" s="118"/>
      <c r="L1459" s="119"/>
      <c r="M1459" s="110">
        <f>IF(L1459="",J1459,(MIN(#REF!,(L1459*1.6*#REF!))))</f>
        <v>425</v>
      </c>
      <c r="N1459" s="111" t="e">
        <f>IF(M1459=0,0,(M1459/#REF!))</f>
        <v>#REF!</v>
      </c>
    </row>
    <row r="1460" spans="2:14">
      <c r="B1460" s="120">
        <v>127779</v>
      </c>
      <c r="C1460" s="121" t="s">
        <v>2705</v>
      </c>
      <c r="D1460" s="109">
        <f>SUMIF(B$3:B$3844,B1460,M$3:M$3844)/(SUMIF(B$3:B$3844,B1460,J$3:J$3844))</f>
        <v>1</v>
      </c>
      <c r="E1460" s="122">
        <v>37778</v>
      </c>
      <c r="F1460" s="128" t="s">
        <v>2601</v>
      </c>
      <c r="G1460" s="128"/>
      <c r="H1460" s="117"/>
      <c r="I1460" s="129">
        <v>564</v>
      </c>
      <c r="J1460" s="130">
        <v>848</v>
      </c>
      <c r="K1460" s="118"/>
      <c r="L1460" s="119"/>
      <c r="M1460" s="110">
        <f>IF(L1460="",J1460,(MIN(#REF!,(L1460*1.6*#REF!))))</f>
        <v>848</v>
      </c>
      <c r="N1460" s="111" t="e">
        <f>IF(M1460=0,0,(M1460/#REF!))</f>
        <v>#REF!</v>
      </c>
    </row>
    <row r="1461" spans="2:14">
      <c r="B1461" s="120">
        <v>127779</v>
      </c>
      <c r="C1461" s="121" t="s">
        <v>2705</v>
      </c>
      <c r="D1461" s="109">
        <f>SUMIF(B$3:B$3844,B1461,M$3:M$3844)/(SUMIF(B$3:B$3844,B1461,J$3:J$3844))</f>
        <v>1</v>
      </c>
      <c r="E1461" s="122">
        <v>37629</v>
      </c>
      <c r="F1461" s="128" t="s">
        <v>2602</v>
      </c>
      <c r="G1461" s="128"/>
      <c r="H1461" s="117"/>
      <c r="I1461" s="129">
        <v>117</v>
      </c>
      <c r="J1461" s="130">
        <v>581</v>
      </c>
      <c r="K1461" s="118"/>
      <c r="L1461" s="119"/>
      <c r="M1461" s="110">
        <f>IF(L1461="",J1461,(MIN(#REF!,(L1461*1.6*#REF!))))</f>
        <v>581</v>
      </c>
      <c r="N1461" s="111" t="e">
        <f>IF(M1461=0,0,(M1461/#REF!))</f>
        <v>#REF!</v>
      </c>
    </row>
    <row r="1462" spans="2:14">
      <c r="B1462" s="120">
        <v>127779</v>
      </c>
      <c r="C1462" s="121" t="s">
        <v>2705</v>
      </c>
      <c r="D1462" s="109">
        <f>SUMIF(B$3:B$3844,B1462,M$3:M$3844)/(SUMIF(B$3:B$3844,B1462,J$3:J$3844))</f>
        <v>1</v>
      </c>
      <c r="E1462" s="122">
        <v>230484</v>
      </c>
      <c r="F1462" s="128" t="s">
        <v>2603</v>
      </c>
      <c r="G1462" s="128"/>
      <c r="H1462" s="117"/>
      <c r="I1462" s="129">
        <v>743</v>
      </c>
      <c r="J1462" s="130">
        <v>1244</v>
      </c>
      <c r="K1462" s="118"/>
      <c r="L1462" s="119"/>
      <c r="M1462" s="110">
        <f>IF(L1462="",J1462,(MIN(#REF!,(L1462*1.6*#REF!))))</f>
        <v>1244</v>
      </c>
      <c r="N1462" s="111" t="e">
        <f>IF(M1462=0,0,(M1462/#REF!))</f>
        <v>#REF!</v>
      </c>
    </row>
    <row r="1463" spans="2:14">
      <c r="B1463" s="120">
        <v>127779</v>
      </c>
      <c r="C1463" s="121" t="s">
        <v>2705</v>
      </c>
      <c r="D1463" s="109">
        <f>SUMIF(B$3:B$3844,B1463,M$3:M$3844)/(SUMIF(B$3:B$3844,B1463,J$3:J$3844))</f>
        <v>1</v>
      </c>
      <c r="E1463" s="122">
        <v>203968</v>
      </c>
      <c r="F1463" s="128" t="s">
        <v>2604</v>
      </c>
      <c r="G1463" s="128"/>
      <c r="H1463" s="117"/>
      <c r="I1463" s="129">
        <v>270</v>
      </c>
      <c r="J1463" s="130">
        <v>387</v>
      </c>
      <c r="K1463" s="118"/>
      <c r="L1463" s="119"/>
      <c r="M1463" s="110">
        <f>IF(L1463="",J1463,(MIN(#REF!,(L1463*1.6*#REF!))))</f>
        <v>387</v>
      </c>
      <c r="N1463" s="111" t="e">
        <f>IF(M1463=0,0,(M1463/#REF!))</f>
        <v>#REF!</v>
      </c>
    </row>
    <row r="1464" spans="2:14">
      <c r="B1464" s="120">
        <v>127779</v>
      </c>
      <c r="C1464" s="121" t="s">
        <v>2705</v>
      </c>
      <c r="D1464" s="109">
        <f>SUMIF(B$3:B$3844,B1464,M$3:M$3844)/(SUMIF(B$3:B$3844,B1464,J$3:J$3844))</f>
        <v>1</v>
      </c>
      <c r="E1464" s="122">
        <v>37615</v>
      </c>
      <c r="F1464" s="128" t="s">
        <v>2605</v>
      </c>
      <c r="G1464" s="128"/>
      <c r="H1464" s="117"/>
      <c r="I1464" s="129">
        <v>371</v>
      </c>
      <c r="J1464" s="130">
        <v>451</v>
      </c>
      <c r="K1464" s="118"/>
      <c r="L1464" s="119"/>
      <c r="M1464" s="110">
        <f>IF(L1464="",J1464,(MIN(#REF!,(L1464*1.6*#REF!))))</f>
        <v>451</v>
      </c>
      <c r="N1464" s="111" t="e">
        <f>IF(M1464=0,0,(M1464/#REF!))</f>
        <v>#REF!</v>
      </c>
    </row>
    <row r="1465" spans="2:14">
      <c r="B1465" s="120">
        <v>127779</v>
      </c>
      <c r="C1465" s="121" t="s">
        <v>2705</v>
      </c>
      <c r="D1465" s="109">
        <f>SUMIF(B$3:B$3844,B1465,M$3:M$3844)/(SUMIF(B$3:B$3844,B1465,J$3:J$3844))</f>
        <v>1</v>
      </c>
      <c r="E1465" s="122">
        <v>37616</v>
      </c>
      <c r="F1465" s="128" t="s">
        <v>2606</v>
      </c>
      <c r="G1465" s="128"/>
      <c r="H1465" s="117"/>
      <c r="I1465" s="129">
        <v>34</v>
      </c>
      <c r="J1465" s="130">
        <v>51</v>
      </c>
      <c r="K1465" s="118"/>
      <c r="L1465" s="119"/>
      <c r="M1465" s="110">
        <f>IF(L1465="",J1465,(MIN(#REF!,(L1465*1.6*#REF!))))</f>
        <v>51</v>
      </c>
      <c r="N1465" s="111" t="e">
        <f>IF(M1465=0,0,(M1465/#REF!))</f>
        <v>#REF!</v>
      </c>
    </row>
    <row r="1466" spans="2:14">
      <c r="B1466" s="120">
        <v>127779</v>
      </c>
      <c r="C1466" s="121" t="s">
        <v>2705</v>
      </c>
      <c r="D1466" s="109">
        <f>SUMIF(B$3:B$3844,B1466,M$3:M$3844)/(SUMIF(B$3:B$3844,B1466,J$3:J$3844))</f>
        <v>1</v>
      </c>
      <c r="E1466" s="122">
        <v>37835</v>
      </c>
      <c r="F1466" s="128" t="s">
        <v>2607</v>
      </c>
      <c r="G1466" s="128"/>
      <c r="H1466" s="117"/>
      <c r="I1466" s="129">
        <v>333</v>
      </c>
      <c r="J1466" s="130">
        <v>902</v>
      </c>
      <c r="K1466" s="118"/>
      <c r="L1466" s="119"/>
      <c r="M1466" s="110">
        <f>IF(L1466="",J1466,(MIN(#REF!,(L1466*1.6*#REF!))))</f>
        <v>902</v>
      </c>
      <c r="N1466" s="111" t="e">
        <f>IF(M1466=0,0,(M1466/#REF!))</f>
        <v>#REF!</v>
      </c>
    </row>
    <row r="1467" spans="2:14">
      <c r="B1467" s="120">
        <v>127779</v>
      </c>
      <c r="C1467" s="121" t="s">
        <v>2705</v>
      </c>
      <c r="D1467" s="109">
        <f>SUMIF(B$3:B$3844,B1467,M$3:M$3844)/(SUMIF(B$3:B$3844,B1467,J$3:J$3844))</f>
        <v>1</v>
      </c>
      <c r="E1467" s="122">
        <v>37569</v>
      </c>
      <c r="F1467" s="128" t="s">
        <v>2608</v>
      </c>
      <c r="G1467" s="128"/>
      <c r="H1467" s="117"/>
      <c r="I1467" s="129">
        <v>273</v>
      </c>
      <c r="J1467" s="130">
        <v>625</v>
      </c>
      <c r="K1467" s="118"/>
      <c r="L1467" s="119"/>
      <c r="M1467" s="110">
        <f>IF(L1467="",J1467,(MIN(#REF!,(L1467*1.6*#REF!))))</f>
        <v>625</v>
      </c>
      <c r="N1467" s="111" t="e">
        <f>IF(M1467=0,0,(M1467/#REF!))</f>
        <v>#REF!</v>
      </c>
    </row>
    <row r="1468" spans="2:14">
      <c r="B1468" s="120">
        <v>127779</v>
      </c>
      <c r="C1468" s="121" t="s">
        <v>2705</v>
      </c>
      <c r="D1468" s="109">
        <f>SUMIF(B$3:B$3844,B1468,M$3:M$3844)/(SUMIF(B$3:B$3844,B1468,J$3:J$3844))</f>
        <v>1</v>
      </c>
      <c r="E1468" s="122">
        <v>37820</v>
      </c>
      <c r="F1468" s="128" t="s">
        <v>2609</v>
      </c>
      <c r="G1468" s="128"/>
      <c r="H1468" s="117"/>
      <c r="I1468" s="129">
        <v>96</v>
      </c>
      <c r="J1468" s="130">
        <v>755</v>
      </c>
      <c r="K1468" s="118"/>
      <c r="L1468" s="119"/>
      <c r="M1468" s="110">
        <f>IF(L1468="",J1468,(MIN(#REF!,(L1468*1.6*#REF!))))</f>
        <v>755</v>
      </c>
      <c r="N1468" s="111" t="e">
        <f>IF(M1468=0,0,(M1468/#REF!))</f>
        <v>#REF!</v>
      </c>
    </row>
    <row r="1469" spans="2:14">
      <c r="B1469" s="120">
        <v>127779</v>
      </c>
      <c r="C1469" s="121" t="s">
        <v>2705</v>
      </c>
      <c r="D1469" s="109">
        <f>SUMIF(B$3:B$3844,B1469,M$3:M$3844)/(SUMIF(B$3:B$3844,B1469,J$3:J$3844))</f>
        <v>1</v>
      </c>
      <c r="E1469" s="122">
        <v>37722</v>
      </c>
      <c r="F1469" s="128" t="s">
        <v>509</v>
      </c>
      <c r="G1469" s="128"/>
      <c r="H1469" s="117"/>
      <c r="I1469" s="129">
        <v>532</v>
      </c>
      <c r="J1469" s="130">
        <v>681</v>
      </c>
      <c r="K1469" s="118"/>
      <c r="L1469" s="119"/>
      <c r="M1469" s="110">
        <f>IF(L1469="",J1469,(MIN(#REF!,(L1469*1.6*#REF!))))</f>
        <v>681</v>
      </c>
      <c r="N1469" s="111" t="e">
        <f>IF(M1469=0,0,(M1469/#REF!))</f>
        <v>#REF!</v>
      </c>
    </row>
    <row r="1470" spans="2:14">
      <c r="B1470" s="120">
        <v>127779</v>
      </c>
      <c r="C1470" s="121" t="s">
        <v>2705</v>
      </c>
      <c r="D1470" s="109">
        <f>SUMIF(B$3:B$3844,B1470,M$3:M$3844)/(SUMIF(B$3:B$3844,B1470,J$3:J$3844))</f>
        <v>1</v>
      </c>
      <c r="E1470" s="122">
        <v>37619</v>
      </c>
      <c r="F1470" s="128" t="s">
        <v>2610</v>
      </c>
      <c r="G1470" s="128"/>
      <c r="H1470" s="117"/>
      <c r="I1470" s="129">
        <v>750</v>
      </c>
      <c r="J1470" s="130">
        <v>828</v>
      </c>
      <c r="K1470" s="118"/>
      <c r="L1470" s="119"/>
      <c r="M1470" s="110">
        <f>IF(L1470="",J1470,(MIN(#REF!,(L1470*1.6*#REF!))))</f>
        <v>828</v>
      </c>
      <c r="N1470" s="111" t="e">
        <f>IF(M1470=0,0,(M1470/#REF!))</f>
        <v>#REF!</v>
      </c>
    </row>
    <row r="1471" spans="2:14">
      <c r="B1471" s="120">
        <v>127779</v>
      </c>
      <c r="C1471" s="121" t="s">
        <v>2705</v>
      </c>
      <c r="D1471" s="109">
        <f>SUMIF(B$3:B$3844,B1471,M$3:M$3844)/(SUMIF(B$3:B$3844,B1471,J$3:J$3844))</f>
        <v>1</v>
      </c>
      <c r="E1471" s="122">
        <v>37570</v>
      </c>
      <c r="F1471" s="128" t="s">
        <v>2611</v>
      </c>
      <c r="G1471" s="128"/>
      <c r="H1471" s="117"/>
      <c r="I1471" s="129">
        <v>322</v>
      </c>
      <c r="J1471" s="130">
        <v>554</v>
      </c>
      <c r="K1471" s="118"/>
      <c r="L1471" s="119"/>
      <c r="M1471" s="110">
        <f>IF(L1471="",J1471,(MIN(#REF!,(L1471*1.6*#REF!))))</f>
        <v>554</v>
      </c>
      <c r="N1471" s="111" t="e">
        <f>IF(M1471=0,0,(M1471/#REF!))</f>
        <v>#REF!</v>
      </c>
    </row>
    <row r="1472" spans="2:14">
      <c r="B1472" s="120">
        <v>127779</v>
      </c>
      <c r="C1472" s="121" t="s">
        <v>2705</v>
      </c>
      <c r="D1472" s="109">
        <f>SUMIF(B$3:B$3844,B1472,M$3:M$3844)/(SUMIF(B$3:B$3844,B1472,J$3:J$3844))</f>
        <v>1</v>
      </c>
      <c r="E1472" s="122">
        <v>37520</v>
      </c>
      <c r="F1472" s="128" t="s">
        <v>2612</v>
      </c>
      <c r="G1472" s="128"/>
      <c r="H1472" s="117"/>
      <c r="I1472" s="129">
        <v>741</v>
      </c>
      <c r="J1472" s="130">
        <v>1016</v>
      </c>
      <c r="K1472" s="118"/>
      <c r="L1472" s="119"/>
      <c r="M1472" s="110">
        <f>IF(L1472="",J1472,(MIN(#REF!,(L1472*1.6*#REF!))))</f>
        <v>1016</v>
      </c>
      <c r="N1472" s="111" t="e">
        <f>IF(M1472=0,0,(M1472/#REF!))</f>
        <v>#REF!</v>
      </c>
    </row>
    <row r="1473" spans="2:14">
      <c r="B1473" s="120">
        <v>127779</v>
      </c>
      <c r="C1473" s="121" t="s">
        <v>2705</v>
      </c>
      <c r="D1473" s="109">
        <f>SUMIF(B$3:B$3844,B1473,M$3:M$3844)/(SUMIF(B$3:B$3844,B1473,J$3:J$3844))</f>
        <v>1</v>
      </c>
      <c r="E1473" s="122">
        <v>37583</v>
      </c>
      <c r="F1473" s="128" t="s">
        <v>2613</v>
      </c>
      <c r="G1473" s="128"/>
      <c r="H1473" s="117"/>
      <c r="I1473" s="129">
        <v>664</v>
      </c>
      <c r="J1473" s="130">
        <v>797</v>
      </c>
      <c r="K1473" s="118"/>
      <c r="L1473" s="119"/>
      <c r="M1473" s="110">
        <f>IF(L1473="",J1473,(MIN(#REF!,(L1473*1.6*#REF!))))</f>
        <v>797</v>
      </c>
      <c r="N1473" s="111" t="e">
        <f>IF(M1473=0,0,(M1473/#REF!))</f>
        <v>#REF!</v>
      </c>
    </row>
    <row r="1474" spans="2:14">
      <c r="B1474" s="120">
        <v>127779</v>
      </c>
      <c r="C1474" s="121" t="s">
        <v>2705</v>
      </c>
      <c r="D1474" s="109">
        <f>SUMIF(B$3:B$3844,B1474,M$3:M$3844)/(SUMIF(B$3:B$3844,B1474,J$3:J$3844))</f>
        <v>1</v>
      </c>
      <c r="E1474" s="122">
        <v>230486</v>
      </c>
      <c r="F1474" s="128" t="s">
        <v>2614</v>
      </c>
      <c r="G1474" s="128"/>
      <c r="H1474" s="117"/>
      <c r="I1474" s="129">
        <v>224</v>
      </c>
      <c r="J1474" s="130">
        <v>1138</v>
      </c>
      <c r="K1474" s="118"/>
      <c r="L1474" s="119"/>
      <c r="M1474" s="110">
        <f>IF(L1474="",J1474,(MIN(#REF!,(L1474*1.6*#REF!))))</f>
        <v>1138</v>
      </c>
      <c r="N1474" s="111" t="e">
        <f>IF(M1474=0,0,(M1474/#REF!))</f>
        <v>#REF!</v>
      </c>
    </row>
    <row r="1475" spans="2:14">
      <c r="B1475" s="120">
        <v>127779</v>
      </c>
      <c r="C1475" s="121" t="s">
        <v>2705</v>
      </c>
      <c r="D1475" s="109">
        <f>SUMIF(B$3:B$3844,B1475,M$3:M$3844)/(SUMIF(B$3:B$3844,B1475,J$3:J$3844))</f>
        <v>1</v>
      </c>
      <c r="E1475" s="122">
        <v>37611</v>
      </c>
      <c r="F1475" s="128" t="s">
        <v>2615</v>
      </c>
      <c r="G1475" s="128"/>
      <c r="H1475" s="117"/>
      <c r="I1475" s="129">
        <v>569</v>
      </c>
      <c r="J1475" s="130">
        <v>631</v>
      </c>
      <c r="K1475" s="118"/>
      <c r="L1475" s="119"/>
      <c r="M1475" s="110">
        <f>IF(L1475="",J1475,(MIN(#REF!,(L1475*1.6*#REF!))))</f>
        <v>631</v>
      </c>
      <c r="N1475" s="111" t="e">
        <f>IF(M1475=0,0,(M1475/#REF!))</f>
        <v>#REF!</v>
      </c>
    </row>
    <row r="1476" spans="2:14">
      <c r="B1476" s="120">
        <v>127779</v>
      </c>
      <c r="C1476" s="121" t="s">
        <v>2705</v>
      </c>
      <c r="D1476" s="109">
        <f>SUMIF(B$3:B$3844,B1476,M$3:M$3844)/(SUMIF(B$3:B$3844,B1476,J$3:J$3844))</f>
        <v>1</v>
      </c>
      <c r="E1476" s="122">
        <v>37661</v>
      </c>
      <c r="F1476" s="128" t="s">
        <v>2616</v>
      </c>
      <c r="G1476" s="128"/>
      <c r="H1476" s="117"/>
      <c r="I1476" s="129">
        <v>599</v>
      </c>
      <c r="J1476" s="130">
        <v>645</v>
      </c>
      <c r="K1476" s="118"/>
      <c r="L1476" s="119"/>
      <c r="M1476" s="110">
        <f>IF(L1476="",J1476,(MIN(#REF!,(L1476*1.6*#REF!))))</f>
        <v>645</v>
      </c>
      <c r="N1476" s="111" t="e">
        <f>IF(M1476=0,0,(M1476/#REF!))</f>
        <v>#REF!</v>
      </c>
    </row>
    <row r="1477" spans="2:14">
      <c r="B1477" s="120">
        <v>127779</v>
      </c>
      <c r="C1477" s="121" t="s">
        <v>2705</v>
      </c>
      <c r="D1477" s="109">
        <f>SUMIF(B$3:B$3844,B1477,M$3:M$3844)/(SUMIF(B$3:B$3844,B1477,J$3:J$3844))</f>
        <v>1</v>
      </c>
      <c r="E1477" s="122">
        <v>37643</v>
      </c>
      <c r="F1477" s="128" t="s">
        <v>2617</v>
      </c>
      <c r="G1477" s="128"/>
      <c r="H1477" s="117"/>
      <c r="I1477" s="129">
        <v>613</v>
      </c>
      <c r="J1477" s="130">
        <v>690</v>
      </c>
      <c r="K1477" s="118"/>
      <c r="L1477" s="119"/>
      <c r="M1477" s="110">
        <f>IF(L1477="",J1477,(MIN(#REF!,(L1477*1.6*#REF!))))</f>
        <v>690</v>
      </c>
      <c r="N1477" s="111" t="e">
        <f>IF(M1477=0,0,(M1477/#REF!))</f>
        <v>#REF!</v>
      </c>
    </row>
    <row r="1478" spans="2:14">
      <c r="B1478" s="120">
        <v>127779</v>
      </c>
      <c r="C1478" s="121" t="s">
        <v>2705</v>
      </c>
      <c r="D1478" s="109">
        <f>SUMIF(B$3:B$3844,B1478,M$3:M$3844)/(SUMIF(B$3:B$3844,B1478,J$3:J$3844))</f>
        <v>1</v>
      </c>
      <c r="E1478" s="122">
        <v>37705</v>
      </c>
      <c r="F1478" s="128" t="s">
        <v>2618</v>
      </c>
      <c r="G1478" s="128"/>
      <c r="H1478" s="117"/>
      <c r="I1478" s="129">
        <v>18</v>
      </c>
      <c r="J1478" s="130">
        <v>23</v>
      </c>
      <c r="K1478" s="118"/>
      <c r="L1478" s="119"/>
      <c r="M1478" s="110">
        <f>IF(L1478="",J1478,(MIN(#REF!,(L1478*1.6*#REF!))))</f>
        <v>23</v>
      </c>
      <c r="N1478" s="111" t="e">
        <f>IF(M1478=0,0,(M1478/#REF!))</f>
        <v>#REF!</v>
      </c>
    </row>
    <row r="1479" spans="2:14">
      <c r="B1479" s="120">
        <v>127779</v>
      </c>
      <c r="C1479" s="121" t="s">
        <v>2705</v>
      </c>
      <c r="D1479" s="109">
        <f>SUMIF(B$3:B$3844,B1479,M$3:M$3844)/(SUMIF(B$3:B$3844,B1479,J$3:J$3844))</f>
        <v>1</v>
      </c>
      <c r="E1479" s="122">
        <v>37715</v>
      </c>
      <c r="F1479" s="128" t="s">
        <v>2619</v>
      </c>
      <c r="G1479" s="128"/>
      <c r="H1479" s="117"/>
      <c r="I1479" s="129">
        <v>374</v>
      </c>
      <c r="J1479" s="130">
        <v>505</v>
      </c>
      <c r="K1479" s="118"/>
      <c r="L1479" s="119"/>
      <c r="M1479" s="110">
        <f>IF(L1479="",J1479,(MIN(#REF!,(L1479*1.6*#REF!))))</f>
        <v>505</v>
      </c>
      <c r="N1479" s="111" t="e">
        <f>IF(M1479=0,0,(M1479/#REF!))</f>
        <v>#REF!</v>
      </c>
    </row>
    <row r="1480" spans="2:14">
      <c r="B1480" s="120">
        <v>127779</v>
      </c>
      <c r="C1480" s="121" t="s">
        <v>2705</v>
      </c>
      <c r="D1480" s="109">
        <f>SUMIF(B$3:B$3844,B1480,M$3:M$3844)/(SUMIF(B$3:B$3844,B1480,J$3:J$3844))</f>
        <v>1</v>
      </c>
      <c r="E1480" s="122">
        <v>230487</v>
      </c>
      <c r="F1480" s="128" t="s">
        <v>2620</v>
      </c>
      <c r="G1480" s="128"/>
      <c r="H1480" s="117"/>
      <c r="I1480" s="129">
        <v>1081</v>
      </c>
      <c r="J1480" s="130">
        <v>1587</v>
      </c>
      <c r="K1480" s="118"/>
      <c r="L1480" s="119"/>
      <c r="M1480" s="110">
        <f>IF(L1480="",J1480,(MIN(#REF!,(L1480*1.6*#REF!))))</f>
        <v>1587</v>
      </c>
      <c r="N1480" s="111" t="e">
        <f>IF(M1480=0,0,(M1480/#REF!))</f>
        <v>#REF!</v>
      </c>
    </row>
    <row r="1481" spans="2:14">
      <c r="B1481" s="120">
        <v>127779</v>
      </c>
      <c r="C1481" s="121" t="s">
        <v>2705</v>
      </c>
      <c r="D1481" s="109">
        <f>SUMIF(B$3:B$3844,B1481,M$3:M$3844)/(SUMIF(B$3:B$3844,B1481,J$3:J$3844))</f>
        <v>1</v>
      </c>
      <c r="E1481" s="122">
        <v>37731</v>
      </c>
      <c r="F1481" s="128" t="s">
        <v>2621</v>
      </c>
      <c r="G1481" s="128"/>
      <c r="H1481" s="117"/>
      <c r="I1481" s="129">
        <v>784</v>
      </c>
      <c r="J1481" s="130">
        <v>816</v>
      </c>
      <c r="K1481" s="118"/>
      <c r="L1481" s="119"/>
      <c r="M1481" s="110">
        <f>IF(L1481="",J1481,(MIN(#REF!,(L1481*1.6*#REF!))))</f>
        <v>816</v>
      </c>
      <c r="N1481" s="111" t="e">
        <f>IF(M1481=0,0,(M1481/#REF!))</f>
        <v>#REF!</v>
      </c>
    </row>
    <row r="1482" spans="2:14">
      <c r="B1482" s="120">
        <v>127779</v>
      </c>
      <c r="C1482" s="121" t="s">
        <v>2705</v>
      </c>
      <c r="D1482" s="109">
        <f>SUMIF(B$3:B$3844,B1482,M$3:M$3844)/(SUMIF(B$3:B$3844,B1482,J$3:J$3844))</f>
        <v>1</v>
      </c>
      <c r="E1482" s="122">
        <v>37526</v>
      </c>
      <c r="F1482" s="128" t="s">
        <v>2622</v>
      </c>
      <c r="G1482" s="128"/>
      <c r="H1482" s="117"/>
      <c r="I1482" s="129">
        <v>584</v>
      </c>
      <c r="J1482" s="130">
        <v>861</v>
      </c>
      <c r="K1482" s="118"/>
      <c r="L1482" s="119"/>
      <c r="M1482" s="110">
        <f>IF(L1482="",J1482,(MIN(#REF!,(L1482*1.6*#REF!))))</f>
        <v>861</v>
      </c>
      <c r="N1482" s="111" t="e">
        <f>IF(M1482=0,0,(M1482/#REF!))</f>
        <v>#REF!</v>
      </c>
    </row>
    <row r="1483" spans="2:14">
      <c r="B1483" s="120">
        <v>127779</v>
      </c>
      <c r="C1483" s="121" t="s">
        <v>2705</v>
      </c>
      <c r="D1483" s="109">
        <f>SUMIF(B$3:B$3844,B1483,M$3:M$3844)/(SUMIF(B$3:B$3844,B1483,J$3:J$3844))</f>
        <v>1</v>
      </c>
      <c r="E1483" s="122">
        <v>37694</v>
      </c>
      <c r="F1483" s="128" t="s">
        <v>2623</v>
      </c>
      <c r="G1483" s="128"/>
      <c r="H1483" s="117"/>
      <c r="I1483" s="129">
        <v>199</v>
      </c>
      <c r="J1483" s="130">
        <v>669</v>
      </c>
      <c r="K1483" s="118"/>
      <c r="L1483" s="119"/>
      <c r="M1483" s="110">
        <f>IF(L1483="",J1483,(MIN(#REF!,(L1483*1.6*#REF!))))</f>
        <v>669</v>
      </c>
      <c r="N1483" s="111" t="e">
        <f>IF(M1483=0,0,(M1483/#REF!))</f>
        <v>#REF!</v>
      </c>
    </row>
    <row r="1484" spans="2:14">
      <c r="B1484" s="120">
        <v>127779</v>
      </c>
      <c r="C1484" s="121" t="s">
        <v>2705</v>
      </c>
      <c r="D1484" s="109">
        <f>SUMIF(B$3:B$3844,B1484,M$3:M$3844)/(SUMIF(B$3:B$3844,B1484,J$3:J$3844))</f>
        <v>1</v>
      </c>
      <c r="E1484" s="122">
        <v>230555</v>
      </c>
      <c r="F1484" s="128" t="s">
        <v>2624</v>
      </c>
      <c r="G1484" s="128"/>
      <c r="H1484" s="117"/>
      <c r="I1484" s="129">
        <v>130</v>
      </c>
      <c r="J1484" s="130">
        <v>953</v>
      </c>
      <c r="K1484" s="118"/>
      <c r="L1484" s="119"/>
      <c r="M1484" s="110">
        <f>IF(L1484="",J1484,(MIN(#REF!,(L1484*1.6*#REF!))))</f>
        <v>953</v>
      </c>
      <c r="N1484" s="111" t="e">
        <f>IF(M1484=0,0,(M1484/#REF!))</f>
        <v>#REF!</v>
      </c>
    </row>
    <row r="1485" spans="2:14">
      <c r="B1485" s="120">
        <v>127779</v>
      </c>
      <c r="C1485" s="121" t="s">
        <v>2705</v>
      </c>
      <c r="D1485" s="109">
        <f>SUMIF(B$3:B$3844,B1485,M$3:M$3844)/(SUMIF(B$3:B$3844,B1485,J$3:J$3844))</f>
        <v>1</v>
      </c>
      <c r="E1485" s="122">
        <v>37828</v>
      </c>
      <c r="F1485" s="128" t="s">
        <v>2625</v>
      </c>
      <c r="G1485" s="128"/>
      <c r="H1485" s="117"/>
      <c r="I1485" s="129">
        <v>455</v>
      </c>
      <c r="J1485" s="130">
        <v>533</v>
      </c>
      <c r="K1485" s="118"/>
      <c r="L1485" s="119"/>
      <c r="M1485" s="110">
        <f>IF(L1485="",J1485,(MIN(#REF!,(L1485*1.6*#REF!))))</f>
        <v>533</v>
      </c>
      <c r="N1485" s="111" t="e">
        <f>IF(M1485=0,0,(M1485/#REF!))</f>
        <v>#REF!</v>
      </c>
    </row>
    <row r="1486" spans="2:14">
      <c r="B1486" s="120">
        <v>127779</v>
      </c>
      <c r="C1486" s="121" t="s">
        <v>2705</v>
      </c>
      <c r="D1486" s="109">
        <f>SUMIF(B$3:B$3844,B1486,M$3:M$3844)/(SUMIF(B$3:B$3844,B1486,J$3:J$3844))</f>
        <v>1</v>
      </c>
      <c r="E1486" s="122">
        <v>37745</v>
      </c>
      <c r="F1486" s="128" t="s">
        <v>2626</v>
      </c>
      <c r="G1486" s="128"/>
      <c r="H1486" s="117"/>
      <c r="I1486" s="129">
        <v>779</v>
      </c>
      <c r="J1486" s="130">
        <v>831</v>
      </c>
      <c r="K1486" s="118"/>
      <c r="L1486" s="119"/>
      <c r="M1486" s="110">
        <f>IF(L1486="",J1486,(MIN(#REF!,(L1486*1.6*#REF!))))</f>
        <v>831</v>
      </c>
      <c r="N1486" s="111" t="e">
        <f>IF(M1486=0,0,(M1486/#REF!))</f>
        <v>#REF!</v>
      </c>
    </row>
    <row r="1487" spans="2:14">
      <c r="B1487" s="120">
        <v>127779</v>
      </c>
      <c r="C1487" s="121" t="s">
        <v>2705</v>
      </c>
      <c r="D1487" s="109">
        <f>SUMIF(B$3:B$3844,B1487,M$3:M$3844)/(SUMIF(B$3:B$3844,B1487,J$3:J$3844))</f>
        <v>1</v>
      </c>
      <c r="E1487" s="122">
        <v>234467</v>
      </c>
      <c r="F1487" s="128" t="s">
        <v>2627</v>
      </c>
      <c r="G1487" s="128"/>
      <c r="H1487" s="117"/>
      <c r="I1487" s="129">
        <v>492</v>
      </c>
      <c r="J1487" s="130">
        <v>1131</v>
      </c>
      <c r="K1487" s="118"/>
      <c r="L1487" s="119"/>
      <c r="M1487" s="110">
        <f>IF(L1487="",J1487,(MIN(#REF!,(L1487*1.6*#REF!))))</f>
        <v>1131</v>
      </c>
      <c r="N1487" s="111" t="e">
        <f>IF(M1487=0,0,(M1487/#REF!))</f>
        <v>#REF!</v>
      </c>
    </row>
    <row r="1488" spans="2:14">
      <c r="B1488" s="120">
        <v>127779</v>
      </c>
      <c r="C1488" s="121" t="s">
        <v>2705</v>
      </c>
      <c r="D1488" s="109">
        <f>SUMIF(B$3:B$3844,B1488,M$3:M$3844)/(SUMIF(B$3:B$3844,B1488,J$3:J$3844))</f>
        <v>1</v>
      </c>
      <c r="E1488" s="122">
        <v>234473</v>
      </c>
      <c r="F1488" s="128" t="s">
        <v>2628</v>
      </c>
      <c r="G1488" s="128"/>
      <c r="H1488" s="117"/>
      <c r="I1488" s="129">
        <v>497</v>
      </c>
      <c r="J1488" s="130">
        <v>831</v>
      </c>
      <c r="K1488" s="118"/>
      <c r="L1488" s="119"/>
      <c r="M1488" s="110">
        <f>IF(L1488="",J1488,(MIN(#REF!,(L1488*1.6*#REF!))))</f>
        <v>831</v>
      </c>
      <c r="N1488" s="111" t="e">
        <f>IF(M1488=0,0,(M1488/#REF!))</f>
        <v>#REF!</v>
      </c>
    </row>
    <row r="1489" spans="2:14">
      <c r="B1489" s="120">
        <v>127779</v>
      </c>
      <c r="C1489" s="121" t="s">
        <v>2705</v>
      </c>
      <c r="D1489" s="109">
        <f>SUMIF(B$3:B$3844,B1489,M$3:M$3844)/(SUMIF(B$3:B$3844,B1489,J$3:J$3844))</f>
        <v>1</v>
      </c>
      <c r="E1489" s="122">
        <v>37810</v>
      </c>
      <c r="F1489" s="128" t="s">
        <v>2629</v>
      </c>
      <c r="G1489" s="128"/>
      <c r="H1489" s="117"/>
      <c r="I1489" s="129">
        <v>262</v>
      </c>
      <c r="J1489" s="130">
        <v>645</v>
      </c>
      <c r="K1489" s="118"/>
      <c r="L1489" s="119"/>
      <c r="M1489" s="110">
        <f>IF(L1489="",J1489,(MIN(#REF!,(L1489*1.6*#REF!))))</f>
        <v>645</v>
      </c>
      <c r="N1489" s="111" t="e">
        <f>IF(M1489=0,0,(M1489/#REF!))</f>
        <v>#REF!</v>
      </c>
    </row>
    <row r="1490" spans="2:14">
      <c r="B1490" s="120">
        <v>127779</v>
      </c>
      <c r="C1490" s="121" t="s">
        <v>2705</v>
      </c>
      <c r="D1490" s="109">
        <f>SUMIF(B$3:B$3844,B1490,M$3:M$3844)/(SUMIF(B$3:B$3844,B1490,J$3:J$3844))</f>
        <v>1</v>
      </c>
      <c r="E1490" s="122">
        <v>235194</v>
      </c>
      <c r="F1490" s="128" t="s">
        <v>2630</v>
      </c>
      <c r="G1490" s="128"/>
      <c r="H1490" s="117"/>
      <c r="I1490" s="129">
        <v>798</v>
      </c>
      <c r="J1490" s="130">
        <v>868</v>
      </c>
      <c r="K1490" s="118"/>
      <c r="L1490" s="119"/>
      <c r="M1490" s="110">
        <f>IF(L1490="",J1490,(MIN(#REF!,(L1490*1.6*#REF!))))</f>
        <v>868</v>
      </c>
      <c r="N1490" s="111" t="e">
        <f>IF(M1490=0,0,(M1490/#REF!))</f>
        <v>#REF!</v>
      </c>
    </row>
    <row r="1491" spans="2:14">
      <c r="B1491" s="120">
        <v>127779</v>
      </c>
      <c r="C1491" s="121" t="s">
        <v>2705</v>
      </c>
      <c r="D1491" s="109">
        <f>SUMIF(B$3:B$3844,B1491,M$3:M$3844)/(SUMIF(B$3:B$3844,B1491,J$3:J$3844))</f>
        <v>1</v>
      </c>
      <c r="E1491" s="122">
        <v>16031792</v>
      </c>
      <c r="F1491" s="128" t="s">
        <v>2631</v>
      </c>
      <c r="G1491" s="128"/>
      <c r="H1491" s="117"/>
      <c r="I1491" s="129">
        <v>444</v>
      </c>
      <c r="J1491" s="130">
        <v>2599</v>
      </c>
      <c r="K1491" s="118"/>
      <c r="L1491" s="119"/>
      <c r="M1491" s="110">
        <f>IF(L1491="",J1491,(MIN(#REF!,(L1491*1.6*#REF!))))</f>
        <v>2599</v>
      </c>
      <c r="N1491" s="111" t="e">
        <f>IF(M1491=0,0,(M1491/#REF!))</f>
        <v>#REF!</v>
      </c>
    </row>
    <row r="1492" spans="2:14">
      <c r="B1492" s="120">
        <v>127779</v>
      </c>
      <c r="C1492" s="121" t="s">
        <v>2705</v>
      </c>
      <c r="D1492" s="109">
        <f>SUMIF(B$3:B$3844,B1492,M$3:M$3844)/(SUMIF(B$3:B$3844,B1492,J$3:J$3844))</f>
        <v>1</v>
      </c>
      <c r="E1492" s="122">
        <v>234471</v>
      </c>
      <c r="F1492" s="128" t="s">
        <v>2632</v>
      </c>
      <c r="G1492" s="128"/>
      <c r="H1492" s="117"/>
      <c r="I1492" s="129">
        <v>299</v>
      </c>
      <c r="J1492" s="130">
        <v>363</v>
      </c>
      <c r="K1492" s="118"/>
      <c r="L1492" s="119"/>
      <c r="M1492" s="110">
        <f>IF(L1492="",J1492,(MIN(#REF!,(L1492*1.6*#REF!))))</f>
        <v>363</v>
      </c>
      <c r="N1492" s="111" t="e">
        <f>IF(M1492=0,0,(M1492/#REF!))</f>
        <v>#REF!</v>
      </c>
    </row>
    <row r="1493" spans="2:14">
      <c r="B1493" s="120">
        <v>127779</v>
      </c>
      <c r="C1493" s="121" t="s">
        <v>2705</v>
      </c>
      <c r="D1493" s="109">
        <f>SUMIF(B$3:B$3844,B1493,M$3:M$3844)/(SUMIF(B$3:B$3844,B1493,J$3:J$3844))</f>
        <v>1</v>
      </c>
      <c r="E1493" s="122">
        <v>37665</v>
      </c>
      <c r="F1493" s="128" t="s">
        <v>2633</v>
      </c>
      <c r="G1493" s="128"/>
      <c r="H1493" s="117"/>
      <c r="I1493" s="129">
        <v>562</v>
      </c>
      <c r="J1493" s="130">
        <v>578</v>
      </c>
      <c r="K1493" s="118"/>
      <c r="L1493" s="119"/>
      <c r="M1493" s="110">
        <f>IF(L1493="",J1493,(MIN(#REF!,(L1493*1.6*#REF!))))</f>
        <v>578</v>
      </c>
      <c r="N1493" s="111" t="e">
        <f>IF(M1493=0,0,(M1493/#REF!))</f>
        <v>#REF!</v>
      </c>
    </row>
    <row r="1494" spans="2:14">
      <c r="B1494" s="120">
        <v>127779</v>
      </c>
      <c r="C1494" s="121" t="s">
        <v>2705</v>
      </c>
      <c r="D1494" s="109">
        <f>SUMIF(B$3:B$3844,B1494,M$3:M$3844)/(SUMIF(B$3:B$3844,B1494,J$3:J$3844))</f>
        <v>1</v>
      </c>
      <c r="E1494" s="122">
        <v>203970</v>
      </c>
      <c r="F1494" s="128" t="s">
        <v>2634</v>
      </c>
      <c r="G1494" s="128"/>
      <c r="H1494" s="117"/>
      <c r="I1494" s="129">
        <v>295</v>
      </c>
      <c r="J1494" s="130">
        <v>530</v>
      </c>
      <c r="K1494" s="118"/>
      <c r="L1494" s="119"/>
      <c r="M1494" s="110">
        <f>IF(L1494="",J1494,(MIN(#REF!,(L1494*1.6*#REF!))))</f>
        <v>530</v>
      </c>
      <c r="N1494" s="111" t="e">
        <f>IF(M1494=0,0,(M1494/#REF!))</f>
        <v>#REF!</v>
      </c>
    </row>
    <row r="1495" spans="2:14">
      <c r="B1495" s="120">
        <v>127779</v>
      </c>
      <c r="C1495" s="121" t="s">
        <v>2705</v>
      </c>
      <c r="D1495" s="109">
        <f>SUMIF(B$3:B$3844,B1495,M$3:M$3844)/(SUMIF(B$3:B$3844,B1495,J$3:J$3844))</f>
        <v>1</v>
      </c>
      <c r="E1495" s="122">
        <v>37796</v>
      </c>
      <c r="F1495" s="128" t="s">
        <v>2635</v>
      </c>
      <c r="G1495" s="128"/>
      <c r="H1495" s="117"/>
      <c r="I1495" s="129">
        <v>484</v>
      </c>
      <c r="J1495" s="130">
        <v>513</v>
      </c>
      <c r="K1495" s="118"/>
      <c r="L1495" s="119"/>
      <c r="M1495" s="110">
        <f>IF(L1495="",J1495,(MIN(#REF!,(L1495*1.6*#REF!))))</f>
        <v>513</v>
      </c>
      <c r="N1495" s="111" t="e">
        <f>IF(M1495=0,0,(M1495/#REF!))</f>
        <v>#REF!</v>
      </c>
    </row>
    <row r="1496" spans="2:14">
      <c r="B1496" s="120">
        <v>127779</v>
      </c>
      <c r="C1496" s="121" t="s">
        <v>2705</v>
      </c>
      <c r="D1496" s="109">
        <f>SUMIF(B$3:B$3844,B1496,M$3:M$3844)/(SUMIF(B$3:B$3844,B1496,J$3:J$3844))</f>
        <v>1</v>
      </c>
      <c r="E1496" s="122">
        <v>37566</v>
      </c>
      <c r="F1496" s="128" t="s">
        <v>2636</v>
      </c>
      <c r="G1496" s="128"/>
      <c r="H1496" s="117"/>
      <c r="I1496" s="129">
        <v>428</v>
      </c>
      <c r="J1496" s="130">
        <v>574</v>
      </c>
      <c r="K1496" s="118"/>
      <c r="L1496" s="119"/>
      <c r="M1496" s="110">
        <f>IF(L1496="",J1496,(MIN(#REF!,(L1496*1.6*#REF!))))</f>
        <v>574</v>
      </c>
      <c r="N1496" s="111" t="e">
        <f>IF(M1496=0,0,(M1496/#REF!))</f>
        <v>#REF!</v>
      </c>
    </row>
    <row r="1497" spans="2:14">
      <c r="B1497" s="120">
        <v>127779</v>
      </c>
      <c r="C1497" s="121" t="s">
        <v>2705</v>
      </c>
      <c r="D1497" s="109">
        <f>SUMIF(B$3:B$3844,B1497,M$3:M$3844)/(SUMIF(B$3:B$3844,B1497,J$3:J$3844))</f>
        <v>1</v>
      </c>
      <c r="E1497" s="122">
        <v>196951</v>
      </c>
      <c r="F1497" s="128" t="s">
        <v>2337</v>
      </c>
      <c r="G1497" s="128"/>
      <c r="H1497" s="117"/>
      <c r="I1497" s="129">
        <v>1118</v>
      </c>
      <c r="J1497" s="130">
        <v>2468</v>
      </c>
      <c r="K1497" s="118"/>
      <c r="L1497" s="119"/>
      <c r="M1497" s="110">
        <f>IF(L1497="",J1497,(MIN(#REF!,(L1497*1.6*#REF!))))</f>
        <v>2468</v>
      </c>
      <c r="N1497" s="111" t="e">
        <f>IF(M1497=0,0,(M1497/#REF!))</f>
        <v>#REF!</v>
      </c>
    </row>
    <row r="1498" spans="2:14">
      <c r="B1498" s="120">
        <v>127779</v>
      </c>
      <c r="C1498" s="121" t="s">
        <v>2705</v>
      </c>
      <c r="D1498" s="109">
        <f>SUMIF(B$3:B$3844,B1498,M$3:M$3844)/(SUMIF(B$3:B$3844,B1498,J$3:J$3844))</f>
        <v>1</v>
      </c>
      <c r="E1498" s="122">
        <v>203971</v>
      </c>
      <c r="F1498" s="128" t="s">
        <v>2637</v>
      </c>
      <c r="G1498" s="128"/>
      <c r="H1498" s="117"/>
      <c r="I1498" s="129">
        <v>685</v>
      </c>
      <c r="J1498" s="130">
        <v>761</v>
      </c>
      <c r="K1498" s="118"/>
      <c r="L1498" s="119"/>
      <c r="M1498" s="110">
        <f>IF(L1498="",J1498,(MIN(#REF!,(L1498*1.6*#REF!))))</f>
        <v>761</v>
      </c>
      <c r="N1498" s="111" t="e">
        <f>IF(M1498=0,0,(M1498/#REF!))</f>
        <v>#REF!</v>
      </c>
    </row>
    <row r="1499" spans="2:14">
      <c r="B1499" s="120">
        <v>127779</v>
      </c>
      <c r="C1499" s="121" t="s">
        <v>2705</v>
      </c>
      <c r="D1499" s="109">
        <f>SUMIF(B$3:B$3844,B1499,M$3:M$3844)/(SUMIF(B$3:B$3844,B1499,J$3:J$3844))</f>
        <v>1</v>
      </c>
      <c r="E1499" s="122">
        <v>37817</v>
      </c>
      <c r="F1499" s="128" t="s">
        <v>2638</v>
      </c>
      <c r="G1499" s="128"/>
      <c r="H1499" s="117"/>
      <c r="I1499" s="129">
        <v>507</v>
      </c>
      <c r="J1499" s="130">
        <v>2390</v>
      </c>
      <c r="K1499" s="118"/>
      <c r="L1499" s="119"/>
      <c r="M1499" s="110">
        <f>IF(L1499="",J1499,(MIN(#REF!,(L1499*1.6*#REF!))))</f>
        <v>2390</v>
      </c>
      <c r="N1499" s="111" t="e">
        <f>IF(M1499=0,0,(M1499/#REF!))</f>
        <v>#REF!</v>
      </c>
    </row>
    <row r="1500" spans="2:14">
      <c r="B1500" s="120">
        <v>127779</v>
      </c>
      <c r="C1500" s="121" t="s">
        <v>2705</v>
      </c>
      <c r="D1500" s="109">
        <f>SUMIF(B$3:B$3844,B1500,M$3:M$3844)/(SUMIF(B$3:B$3844,B1500,J$3:J$3844))</f>
        <v>1</v>
      </c>
      <c r="E1500" s="122">
        <v>37586</v>
      </c>
      <c r="F1500" s="128" t="s">
        <v>2639</v>
      </c>
      <c r="G1500" s="128"/>
      <c r="H1500" s="117"/>
      <c r="I1500" s="129">
        <v>1525</v>
      </c>
      <c r="J1500" s="130">
        <v>2389</v>
      </c>
      <c r="K1500" s="118"/>
      <c r="L1500" s="119"/>
      <c r="M1500" s="110">
        <f>IF(L1500="",J1500,(MIN(#REF!,(L1500*1.6*#REF!))))</f>
        <v>2389</v>
      </c>
      <c r="N1500" s="111" t="e">
        <f>IF(M1500=0,0,(M1500/#REF!))</f>
        <v>#REF!</v>
      </c>
    </row>
    <row r="1501" spans="2:14">
      <c r="B1501" s="120">
        <v>127779</v>
      </c>
      <c r="C1501" s="121" t="s">
        <v>2705</v>
      </c>
      <c r="D1501" s="109">
        <f>SUMIF(B$3:B$3844,B1501,M$3:M$3844)/(SUMIF(B$3:B$3844,B1501,J$3:J$3844))</f>
        <v>1</v>
      </c>
      <c r="E1501" s="122">
        <v>224828</v>
      </c>
      <c r="F1501" s="128" t="s">
        <v>2640</v>
      </c>
      <c r="G1501" s="128"/>
      <c r="H1501" s="117"/>
      <c r="I1501" s="129">
        <v>235</v>
      </c>
      <c r="J1501" s="130">
        <v>953</v>
      </c>
      <c r="K1501" s="118"/>
      <c r="L1501" s="119"/>
      <c r="M1501" s="110">
        <f>IF(L1501="",J1501,(MIN(#REF!,(L1501*1.6*#REF!))))</f>
        <v>953</v>
      </c>
      <c r="N1501" s="111" t="e">
        <f>IF(M1501=0,0,(M1501/#REF!))</f>
        <v>#REF!</v>
      </c>
    </row>
    <row r="1502" spans="2:14">
      <c r="B1502" s="120">
        <v>127779</v>
      </c>
      <c r="C1502" s="121" t="s">
        <v>2705</v>
      </c>
      <c r="D1502" s="109">
        <f>SUMIF(B$3:B$3844,B1502,M$3:M$3844)/(SUMIF(B$3:B$3844,B1502,J$3:J$3844))</f>
        <v>1</v>
      </c>
      <c r="E1502" s="122">
        <v>37591</v>
      </c>
      <c r="F1502" s="128" t="s">
        <v>2641</v>
      </c>
      <c r="G1502" s="128"/>
      <c r="H1502" s="117"/>
      <c r="I1502" s="129">
        <v>1056</v>
      </c>
      <c r="J1502" s="130">
        <v>1544</v>
      </c>
      <c r="K1502" s="118"/>
      <c r="L1502" s="119"/>
      <c r="M1502" s="110">
        <f>IF(L1502="",J1502,(MIN(#REF!,(L1502*1.6*#REF!))))</f>
        <v>1544</v>
      </c>
      <c r="N1502" s="111" t="e">
        <f>IF(M1502=0,0,(M1502/#REF!))</f>
        <v>#REF!</v>
      </c>
    </row>
    <row r="1503" spans="2:14">
      <c r="B1503" s="120">
        <v>127779</v>
      </c>
      <c r="C1503" s="121" t="s">
        <v>2705</v>
      </c>
      <c r="D1503" s="109">
        <f>SUMIF(B$3:B$3844,B1503,M$3:M$3844)/(SUMIF(B$3:B$3844,B1503,J$3:J$3844))</f>
        <v>1</v>
      </c>
      <c r="E1503" s="122">
        <v>37712</v>
      </c>
      <c r="F1503" s="128" t="s">
        <v>2642</v>
      </c>
      <c r="G1503" s="128"/>
      <c r="H1503" s="117"/>
      <c r="I1503" s="129">
        <v>646</v>
      </c>
      <c r="J1503" s="130">
        <v>655</v>
      </c>
      <c r="K1503" s="118"/>
      <c r="L1503" s="119"/>
      <c r="M1503" s="110">
        <f>IF(L1503="",J1503,(MIN(#REF!,(L1503*1.6*#REF!))))</f>
        <v>655</v>
      </c>
      <c r="N1503" s="111" t="e">
        <f>IF(M1503=0,0,(M1503/#REF!))</f>
        <v>#REF!</v>
      </c>
    </row>
    <row r="1504" spans="2:14">
      <c r="B1504" s="120">
        <v>127779</v>
      </c>
      <c r="C1504" s="121" t="s">
        <v>2705</v>
      </c>
      <c r="D1504" s="109">
        <f>SUMIF(B$3:B$3844,B1504,M$3:M$3844)/(SUMIF(B$3:B$3844,B1504,J$3:J$3844))</f>
        <v>1</v>
      </c>
      <c r="E1504" s="122">
        <v>37802</v>
      </c>
      <c r="F1504" s="128" t="s">
        <v>2643</v>
      </c>
      <c r="G1504" s="128"/>
      <c r="H1504" s="117"/>
      <c r="I1504" s="129">
        <v>467</v>
      </c>
      <c r="J1504" s="130">
        <v>869</v>
      </c>
      <c r="K1504" s="118"/>
      <c r="L1504" s="119"/>
      <c r="M1504" s="110">
        <f>IF(L1504="",J1504,(MIN(#REF!,(L1504*1.6*#REF!))))</f>
        <v>869</v>
      </c>
      <c r="N1504" s="111" t="e">
        <f>IF(M1504=0,0,(M1504/#REF!))</f>
        <v>#REF!</v>
      </c>
    </row>
    <row r="1505" spans="2:14">
      <c r="B1505" s="120">
        <v>127779</v>
      </c>
      <c r="C1505" s="121" t="s">
        <v>2705</v>
      </c>
      <c r="D1505" s="109">
        <f>SUMIF(B$3:B$3844,B1505,M$3:M$3844)/(SUMIF(B$3:B$3844,B1505,J$3:J$3844))</f>
        <v>1</v>
      </c>
      <c r="E1505" s="122">
        <v>224827</v>
      </c>
      <c r="F1505" s="128" t="s">
        <v>2644</v>
      </c>
      <c r="G1505" s="128"/>
      <c r="H1505" s="117"/>
      <c r="I1505" s="129">
        <v>182</v>
      </c>
      <c r="J1505" s="130">
        <v>1405</v>
      </c>
      <c r="K1505" s="118"/>
      <c r="L1505" s="119"/>
      <c r="M1505" s="110">
        <f>IF(L1505="",J1505,(MIN(#REF!,(L1505*1.6*#REF!))))</f>
        <v>1405</v>
      </c>
      <c r="N1505" s="111" t="e">
        <f>IF(M1505=0,0,(M1505/#REF!))</f>
        <v>#REF!</v>
      </c>
    </row>
    <row r="1506" spans="2:14">
      <c r="B1506" s="120">
        <v>127779</v>
      </c>
      <c r="C1506" s="121" t="s">
        <v>2705</v>
      </c>
      <c r="D1506" s="109">
        <f>SUMIF(B$3:B$3844,B1506,M$3:M$3844)/(SUMIF(B$3:B$3844,B1506,J$3:J$3844))</f>
        <v>1</v>
      </c>
      <c r="E1506" s="122">
        <v>37786</v>
      </c>
      <c r="F1506" s="128" t="s">
        <v>2645</v>
      </c>
      <c r="G1506" s="128"/>
      <c r="H1506" s="117"/>
      <c r="I1506" s="129">
        <v>253</v>
      </c>
      <c r="J1506" s="130">
        <v>411</v>
      </c>
      <c r="K1506" s="118"/>
      <c r="L1506" s="119"/>
      <c r="M1506" s="110">
        <f>IF(L1506="",J1506,(MIN(#REF!,(L1506*1.6*#REF!))))</f>
        <v>411</v>
      </c>
      <c r="N1506" s="111" t="e">
        <f>IF(M1506=0,0,(M1506/#REF!))</f>
        <v>#REF!</v>
      </c>
    </row>
    <row r="1507" spans="2:14">
      <c r="B1507" s="120">
        <v>127779</v>
      </c>
      <c r="C1507" s="121" t="s">
        <v>2705</v>
      </c>
      <c r="D1507" s="109">
        <f>SUMIF(B$3:B$3844,B1507,M$3:M$3844)/(SUMIF(B$3:B$3844,B1507,J$3:J$3844))</f>
        <v>1</v>
      </c>
      <c r="E1507" s="122">
        <v>37596</v>
      </c>
      <c r="F1507" s="128" t="s">
        <v>2646</v>
      </c>
      <c r="G1507" s="128"/>
      <c r="H1507" s="117"/>
      <c r="I1507" s="129">
        <v>415</v>
      </c>
      <c r="J1507" s="130">
        <v>608</v>
      </c>
      <c r="K1507" s="118"/>
      <c r="L1507" s="119"/>
      <c r="M1507" s="110">
        <f>IF(L1507="",J1507,(MIN(#REF!,(L1507*1.6*#REF!))))</f>
        <v>608</v>
      </c>
      <c r="N1507" s="111" t="e">
        <f>IF(M1507=0,0,(M1507/#REF!))</f>
        <v>#REF!</v>
      </c>
    </row>
    <row r="1508" spans="2:14">
      <c r="B1508" s="120">
        <v>127779</v>
      </c>
      <c r="C1508" s="121" t="s">
        <v>2705</v>
      </c>
      <c r="D1508" s="109">
        <f>SUMIF(B$3:B$3844,B1508,M$3:M$3844)/(SUMIF(B$3:B$3844,B1508,J$3:J$3844))</f>
        <v>1</v>
      </c>
      <c r="E1508" s="122">
        <v>37593</v>
      </c>
      <c r="F1508" s="128" t="s">
        <v>2647</v>
      </c>
      <c r="G1508" s="128"/>
      <c r="H1508" s="117"/>
      <c r="I1508" s="129">
        <v>527</v>
      </c>
      <c r="J1508" s="130">
        <v>622</v>
      </c>
      <c r="K1508" s="118"/>
      <c r="L1508" s="119"/>
      <c r="M1508" s="110">
        <f>IF(L1508="",J1508,(MIN(#REF!,(L1508*1.6*#REF!))))</f>
        <v>622</v>
      </c>
      <c r="N1508" s="111" t="e">
        <f>IF(M1508=0,0,(M1508/#REF!))</f>
        <v>#REF!</v>
      </c>
    </row>
    <row r="1509" spans="2:14">
      <c r="B1509" s="120">
        <v>127779</v>
      </c>
      <c r="C1509" s="121" t="s">
        <v>2705</v>
      </c>
      <c r="D1509" s="109">
        <f>SUMIF(B$3:B$3844,B1509,M$3:M$3844)/(SUMIF(B$3:B$3844,B1509,J$3:J$3844))</f>
        <v>1</v>
      </c>
      <c r="E1509" s="122">
        <v>37771</v>
      </c>
      <c r="F1509" s="128" t="s">
        <v>2648</v>
      </c>
      <c r="G1509" s="128"/>
      <c r="H1509" s="117"/>
      <c r="I1509" s="129">
        <v>719</v>
      </c>
      <c r="J1509" s="130">
        <v>1639</v>
      </c>
      <c r="K1509" s="118"/>
      <c r="L1509" s="119"/>
      <c r="M1509" s="110">
        <f>IF(L1509="",J1509,(MIN(#REF!,(L1509*1.6*#REF!))))</f>
        <v>1639</v>
      </c>
      <c r="N1509" s="111" t="e">
        <f>IF(M1509=0,0,(M1509/#REF!))</f>
        <v>#REF!</v>
      </c>
    </row>
    <row r="1510" spans="2:14">
      <c r="B1510" s="120">
        <v>127779</v>
      </c>
      <c r="C1510" s="121" t="s">
        <v>2705</v>
      </c>
      <c r="D1510" s="109">
        <f>SUMIF(B$3:B$3844,B1510,M$3:M$3844)/(SUMIF(B$3:B$3844,B1510,J$3:J$3844))</f>
        <v>1</v>
      </c>
      <c r="E1510" s="122">
        <v>37699</v>
      </c>
      <c r="F1510" s="128" t="s">
        <v>2649</v>
      </c>
      <c r="G1510" s="128"/>
      <c r="H1510" s="117"/>
      <c r="I1510" s="129">
        <v>727</v>
      </c>
      <c r="J1510" s="130">
        <v>773</v>
      </c>
      <c r="K1510" s="118"/>
      <c r="L1510" s="119"/>
      <c r="M1510" s="110">
        <f>IF(L1510="",J1510,(MIN(#REF!,(L1510*1.6*#REF!))))</f>
        <v>773</v>
      </c>
      <c r="N1510" s="111" t="e">
        <f>IF(M1510=0,0,(M1510/#REF!))</f>
        <v>#REF!</v>
      </c>
    </row>
    <row r="1511" spans="2:14">
      <c r="B1511" s="120">
        <v>127779</v>
      </c>
      <c r="C1511" s="121" t="s">
        <v>2705</v>
      </c>
      <c r="D1511" s="109">
        <f>SUMIF(B$3:B$3844,B1511,M$3:M$3844)/(SUMIF(B$3:B$3844,B1511,J$3:J$3844))</f>
        <v>1</v>
      </c>
      <c r="E1511" s="122">
        <v>203974</v>
      </c>
      <c r="F1511" s="128" t="s">
        <v>2650</v>
      </c>
      <c r="G1511" s="128"/>
      <c r="H1511" s="117"/>
      <c r="I1511" s="129">
        <v>485</v>
      </c>
      <c r="J1511" s="130">
        <v>686</v>
      </c>
      <c r="K1511" s="118"/>
      <c r="L1511" s="119"/>
      <c r="M1511" s="110">
        <f>IF(L1511="",J1511,(MIN(#REF!,(L1511*1.6*#REF!))))</f>
        <v>686</v>
      </c>
      <c r="N1511" s="111" t="e">
        <f>IF(M1511=0,0,(M1511/#REF!))</f>
        <v>#REF!</v>
      </c>
    </row>
    <row r="1512" spans="2:14">
      <c r="B1512" s="120">
        <v>127779</v>
      </c>
      <c r="C1512" s="121" t="s">
        <v>2705</v>
      </c>
      <c r="D1512" s="109">
        <f>SUMIF(B$3:B$3844,B1512,M$3:M$3844)/(SUMIF(B$3:B$3844,B1512,J$3:J$3844))</f>
        <v>1</v>
      </c>
      <c r="E1512" s="122">
        <v>37684</v>
      </c>
      <c r="F1512" s="128" t="s">
        <v>2651</v>
      </c>
      <c r="G1512" s="128"/>
      <c r="H1512" s="117"/>
      <c r="I1512" s="129">
        <v>61</v>
      </c>
      <c r="J1512" s="130">
        <v>90</v>
      </c>
      <c r="K1512" s="118"/>
      <c r="L1512" s="119"/>
      <c r="M1512" s="110">
        <f>IF(L1512="",J1512,(MIN(#REF!,(L1512*1.6*#REF!))))</f>
        <v>90</v>
      </c>
      <c r="N1512" s="111" t="e">
        <f>IF(M1512=0,0,(M1512/#REF!))</f>
        <v>#REF!</v>
      </c>
    </row>
    <row r="1513" spans="2:14">
      <c r="B1513" s="120">
        <v>127779</v>
      </c>
      <c r="C1513" s="121" t="s">
        <v>2705</v>
      </c>
      <c r="D1513" s="109">
        <f>SUMIF(B$3:B$3844,B1513,M$3:M$3844)/(SUMIF(B$3:B$3844,B1513,J$3:J$3844))</f>
        <v>1</v>
      </c>
      <c r="E1513" s="122">
        <v>37686</v>
      </c>
      <c r="F1513" s="128" t="s">
        <v>2652</v>
      </c>
      <c r="G1513" s="128"/>
      <c r="H1513" s="117"/>
      <c r="I1513" s="129">
        <v>1269</v>
      </c>
      <c r="J1513" s="130">
        <v>1668</v>
      </c>
      <c r="K1513" s="118"/>
      <c r="L1513" s="119"/>
      <c r="M1513" s="110">
        <f>IF(L1513="",J1513,(MIN(#REF!,(L1513*1.6*#REF!))))</f>
        <v>1668</v>
      </c>
      <c r="N1513" s="111" t="e">
        <f>IF(M1513=0,0,(M1513/#REF!))</f>
        <v>#REF!</v>
      </c>
    </row>
    <row r="1514" spans="2:14">
      <c r="B1514" s="120">
        <v>127779</v>
      </c>
      <c r="C1514" s="121" t="s">
        <v>2705</v>
      </c>
      <c r="D1514" s="109">
        <f>SUMIF(B$3:B$3844,B1514,M$3:M$3844)/(SUMIF(B$3:B$3844,B1514,J$3:J$3844))</f>
        <v>1</v>
      </c>
      <c r="E1514" s="122">
        <v>37823</v>
      </c>
      <c r="F1514" s="128" t="s">
        <v>2653</v>
      </c>
      <c r="G1514" s="128"/>
      <c r="H1514" s="117"/>
      <c r="I1514" s="129">
        <v>77</v>
      </c>
      <c r="J1514" s="130">
        <v>694</v>
      </c>
      <c r="K1514" s="118"/>
      <c r="L1514" s="119"/>
      <c r="M1514" s="110">
        <f>IF(L1514="",J1514,(MIN(#REF!,(L1514*1.6*#REF!))))</f>
        <v>694</v>
      </c>
      <c r="N1514" s="111" t="e">
        <f>IF(M1514=0,0,(M1514/#REF!))</f>
        <v>#REF!</v>
      </c>
    </row>
    <row r="1515" spans="2:14">
      <c r="B1515" s="120">
        <v>127779</v>
      </c>
      <c r="C1515" s="121" t="s">
        <v>2705</v>
      </c>
      <c r="D1515" s="109">
        <f>SUMIF(B$3:B$3844,B1515,M$3:M$3844)/(SUMIF(B$3:B$3844,B1515,J$3:J$3844))</f>
        <v>1</v>
      </c>
      <c r="E1515" s="122">
        <v>37687</v>
      </c>
      <c r="F1515" s="128" t="s">
        <v>2654</v>
      </c>
      <c r="G1515" s="128"/>
      <c r="H1515" s="117"/>
      <c r="I1515" s="129">
        <v>285</v>
      </c>
      <c r="J1515" s="130">
        <v>800</v>
      </c>
      <c r="K1515" s="118"/>
      <c r="L1515" s="119"/>
      <c r="M1515" s="110">
        <f>IF(L1515="",J1515,(MIN(#REF!,(L1515*1.6*#REF!))))</f>
        <v>800</v>
      </c>
      <c r="N1515" s="111" t="e">
        <f>IF(M1515=0,0,(M1515/#REF!))</f>
        <v>#REF!</v>
      </c>
    </row>
    <row r="1516" spans="2:14">
      <c r="B1516" s="120">
        <v>127779</v>
      </c>
      <c r="C1516" s="121" t="s">
        <v>2705</v>
      </c>
      <c r="D1516" s="109">
        <f>SUMIF(B$3:B$3844,B1516,M$3:M$3844)/(SUMIF(B$3:B$3844,B1516,J$3:J$3844))</f>
        <v>1</v>
      </c>
      <c r="E1516" s="122">
        <v>37603</v>
      </c>
      <c r="F1516" s="128" t="s">
        <v>2655</v>
      </c>
      <c r="G1516" s="128"/>
      <c r="H1516" s="117"/>
      <c r="I1516" s="129">
        <v>775</v>
      </c>
      <c r="J1516" s="130">
        <v>861</v>
      </c>
      <c r="K1516" s="118"/>
      <c r="L1516" s="119"/>
      <c r="M1516" s="110">
        <f>IF(L1516="",J1516,(MIN(#REF!,(L1516*1.6*#REF!))))</f>
        <v>861</v>
      </c>
      <c r="N1516" s="111" t="e">
        <f>IF(M1516=0,0,(M1516/#REF!))</f>
        <v>#REF!</v>
      </c>
    </row>
    <row r="1517" spans="2:14">
      <c r="B1517" s="120">
        <v>127779</v>
      </c>
      <c r="C1517" s="121" t="s">
        <v>2705</v>
      </c>
      <c r="D1517" s="109">
        <f>SUMIF(B$3:B$3844,B1517,M$3:M$3844)/(SUMIF(B$3:B$3844,B1517,J$3:J$3844))</f>
        <v>1</v>
      </c>
      <c r="E1517" s="122">
        <v>234475</v>
      </c>
      <c r="F1517" s="128" t="s">
        <v>2656</v>
      </c>
      <c r="G1517" s="128"/>
      <c r="H1517" s="117"/>
      <c r="I1517" s="129">
        <v>497</v>
      </c>
      <c r="J1517" s="130">
        <v>630</v>
      </c>
      <c r="K1517" s="118"/>
      <c r="L1517" s="119"/>
      <c r="M1517" s="110">
        <f>IF(L1517="",J1517,(MIN(#REF!,(L1517*1.6*#REF!))))</f>
        <v>630</v>
      </c>
      <c r="N1517" s="111" t="e">
        <f>IF(M1517=0,0,(M1517/#REF!))</f>
        <v>#REF!</v>
      </c>
    </row>
    <row r="1518" spans="2:14">
      <c r="B1518" s="120">
        <v>127779</v>
      </c>
      <c r="C1518" s="121" t="s">
        <v>2705</v>
      </c>
      <c r="D1518" s="109">
        <f>SUMIF(B$3:B$3844,B1518,M$3:M$3844)/(SUMIF(B$3:B$3844,B1518,J$3:J$3844))</f>
        <v>1</v>
      </c>
      <c r="E1518" s="122">
        <v>37568</v>
      </c>
      <c r="F1518" s="128" t="s">
        <v>2657</v>
      </c>
      <c r="G1518" s="128"/>
      <c r="H1518" s="117"/>
      <c r="I1518" s="129">
        <v>258</v>
      </c>
      <c r="J1518" s="130">
        <v>660</v>
      </c>
      <c r="K1518" s="118"/>
      <c r="L1518" s="119"/>
      <c r="M1518" s="110">
        <f>IF(L1518="",J1518,(MIN(#REF!,(L1518*1.6*#REF!))))</f>
        <v>660</v>
      </c>
      <c r="N1518" s="111" t="e">
        <f>IF(M1518=0,0,(M1518/#REF!))</f>
        <v>#REF!</v>
      </c>
    </row>
    <row r="1519" spans="2:14">
      <c r="B1519" s="120">
        <v>127779</v>
      </c>
      <c r="C1519" s="121" t="s">
        <v>2705</v>
      </c>
      <c r="D1519" s="109">
        <f>SUMIF(B$3:B$3844,B1519,M$3:M$3844)/(SUMIF(B$3:B$3844,B1519,J$3:J$3844))</f>
        <v>1</v>
      </c>
      <c r="E1519" s="122">
        <v>37618</v>
      </c>
      <c r="F1519" s="128" t="s">
        <v>2658</v>
      </c>
      <c r="G1519" s="128"/>
      <c r="H1519" s="117"/>
      <c r="I1519" s="129">
        <v>463</v>
      </c>
      <c r="J1519" s="130">
        <v>702</v>
      </c>
      <c r="K1519" s="118"/>
      <c r="L1519" s="119"/>
      <c r="M1519" s="110">
        <f>IF(L1519="",J1519,(MIN(#REF!,(L1519*1.6*#REF!))))</f>
        <v>702</v>
      </c>
      <c r="N1519" s="111" t="e">
        <f>IF(M1519=0,0,(M1519/#REF!))</f>
        <v>#REF!</v>
      </c>
    </row>
    <row r="1520" spans="2:14">
      <c r="B1520" s="120">
        <v>127779</v>
      </c>
      <c r="C1520" s="121" t="s">
        <v>2705</v>
      </c>
      <c r="D1520" s="109">
        <f>SUMIF(B$3:B$3844,B1520,M$3:M$3844)/(SUMIF(B$3:B$3844,B1520,J$3:J$3844))</f>
        <v>1</v>
      </c>
      <c r="E1520" s="122">
        <v>37662</v>
      </c>
      <c r="F1520" s="128" t="s">
        <v>2659</v>
      </c>
      <c r="G1520" s="128"/>
      <c r="H1520" s="117"/>
      <c r="I1520" s="129">
        <v>394</v>
      </c>
      <c r="J1520" s="130">
        <v>501</v>
      </c>
      <c r="K1520" s="118"/>
      <c r="L1520" s="119"/>
      <c r="M1520" s="110">
        <f>IF(L1520="",J1520,(MIN(#REF!,(L1520*1.6*#REF!))))</f>
        <v>501</v>
      </c>
      <c r="N1520" s="111" t="e">
        <f>IF(M1520=0,0,(M1520/#REF!))</f>
        <v>#REF!</v>
      </c>
    </row>
    <row r="1521" spans="2:14">
      <c r="B1521" s="120">
        <v>127779</v>
      </c>
      <c r="C1521" s="121" t="s">
        <v>2705</v>
      </c>
      <c r="D1521" s="109">
        <f>SUMIF(B$3:B$3844,B1521,M$3:M$3844)/(SUMIF(B$3:B$3844,B1521,J$3:J$3844))</f>
        <v>1</v>
      </c>
      <c r="E1521" s="122">
        <v>234476</v>
      </c>
      <c r="F1521" s="128" t="s">
        <v>2660</v>
      </c>
      <c r="G1521" s="128"/>
      <c r="H1521" s="117"/>
      <c r="I1521" s="129">
        <v>614</v>
      </c>
      <c r="J1521" s="130">
        <v>1051</v>
      </c>
      <c r="K1521" s="118"/>
      <c r="L1521" s="119"/>
      <c r="M1521" s="110">
        <f>IF(L1521="",J1521,(MIN(#REF!,(L1521*1.6*#REF!))))</f>
        <v>1051</v>
      </c>
      <c r="N1521" s="111" t="e">
        <f>IF(M1521=0,0,(M1521/#REF!))</f>
        <v>#REF!</v>
      </c>
    </row>
    <row r="1522" spans="2:14">
      <c r="B1522" s="120">
        <v>127779</v>
      </c>
      <c r="C1522" s="121" t="s">
        <v>2705</v>
      </c>
      <c r="D1522" s="109">
        <f>SUMIF(B$3:B$3844,B1522,M$3:M$3844)/(SUMIF(B$3:B$3844,B1522,J$3:J$3844))</f>
        <v>1</v>
      </c>
      <c r="E1522" s="122">
        <v>37734</v>
      </c>
      <c r="F1522" s="128" t="s">
        <v>2661</v>
      </c>
      <c r="G1522" s="128"/>
      <c r="H1522" s="117"/>
      <c r="I1522" s="129">
        <v>727</v>
      </c>
      <c r="J1522" s="130">
        <v>756</v>
      </c>
      <c r="K1522" s="118"/>
      <c r="L1522" s="119"/>
      <c r="M1522" s="110">
        <f>IF(L1522="",J1522,(MIN(#REF!,(L1522*1.6*#REF!))))</f>
        <v>756</v>
      </c>
      <c r="N1522" s="111" t="e">
        <f>IF(M1522=0,0,(M1522/#REF!))</f>
        <v>#REF!</v>
      </c>
    </row>
    <row r="1523" spans="2:14">
      <c r="B1523" s="120">
        <v>127779</v>
      </c>
      <c r="C1523" s="121" t="s">
        <v>2705</v>
      </c>
      <c r="D1523" s="109">
        <f>SUMIF(B$3:B$3844,B1523,M$3:M$3844)/(SUMIF(B$3:B$3844,B1523,J$3:J$3844))</f>
        <v>1</v>
      </c>
      <c r="E1523" s="122">
        <v>37668</v>
      </c>
      <c r="F1523" s="128" t="s">
        <v>2662</v>
      </c>
      <c r="G1523" s="128"/>
      <c r="H1523" s="117"/>
      <c r="I1523" s="129">
        <v>292</v>
      </c>
      <c r="J1523" s="130">
        <v>381</v>
      </c>
      <c r="K1523" s="118"/>
      <c r="L1523" s="119"/>
      <c r="M1523" s="110">
        <f>IF(L1523="",J1523,(MIN(#REF!,(L1523*1.6*#REF!))))</f>
        <v>381</v>
      </c>
      <c r="N1523" s="111" t="e">
        <f>IF(M1523=0,0,(M1523/#REF!))</f>
        <v>#REF!</v>
      </c>
    </row>
    <row r="1524" spans="2:14">
      <c r="B1524" s="120">
        <v>127779</v>
      </c>
      <c r="C1524" s="121" t="s">
        <v>2705</v>
      </c>
      <c r="D1524" s="109">
        <f>SUMIF(B$3:B$3844,B1524,M$3:M$3844)/(SUMIF(B$3:B$3844,B1524,J$3:J$3844))</f>
        <v>1</v>
      </c>
      <c r="E1524" s="122">
        <v>37576</v>
      </c>
      <c r="F1524" s="128" t="s">
        <v>2663</v>
      </c>
      <c r="G1524" s="128"/>
      <c r="H1524" s="117"/>
      <c r="I1524" s="129">
        <v>24</v>
      </c>
      <c r="J1524" s="130">
        <v>32</v>
      </c>
      <c r="K1524" s="118"/>
      <c r="L1524" s="119"/>
      <c r="M1524" s="110">
        <f>IF(L1524="",J1524,(MIN(#REF!,(L1524*1.6*#REF!))))</f>
        <v>32</v>
      </c>
      <c r="N1524" s="111" t="e">
        <f>IF(M1524=0,0,(M1524/#REF!))</f>
        <v>#REF!</v>
      </c>
    </row>
    <row r="1525" spans="2:14">
      <c r="B1525" s="120">
        <v>127779</v>
      </c>
      <c r="C1525" s="121" t="s">
        <v>2705</v>
      </c>
      <c r="D1525" s="109">
        <f>SUMIF(B$3:B$3844,B1525,M$3:M$3844)/(SUMIF(B$3:B$3844,B1525,J$3:J$3844))</f>
        <v>1</v>
      </c>
      <c r="E1525" s="122">
        <v>37627</v>
      </c>
      <c r="F1525" s="128" t="s">
        <v>2664</v>
      </c>
      <c r="G1525" s="128"/>
      <c r="H1525" s="117"/>
      <c r="I1525" s="129">
        <v>914</v>
      </c>
      <c r="J1525" s="130">
        <v>2264</v>
      </c>
      <c r="K1525" s="118"/>
      <c r="L1525" s="119"/>
      <c r="M1525" s="110">
        <f>IF(L1525="",J1525,(MIN(#REF!,(L1525*1.6*#REF!))))</f>
        <v>2264</v>
      </c>
      <c r="N1525" s="111" t="e">
        <f>IF(M1525=0,0,(M1525/#REF!))</f>
        <v>#REF!</v>
      </c>
    </row>
    <row r="1526" spans="2:14">
      <c r="B1526" s="120">
        <v>127779</v>
      </c>
      <c r="C1526" s="121" t="s">
        <v>2705</v>
      </c>
      <c r="D1526" s="109">
        <f>SUMIF(B$3:B$3844,B1526,M$3:M$3844)/(SUMIF(B$3:B$3844,B1526,J$3:J$3844))</f>
        <v>1</v>
      </c>
      <c r="E1526" s="122">
        <v>37814</v>
      </c>
      <c r="F1526" s="128" t="s">
        <v>2665</v>
      </c>
      <c r="G1526" s="128"/>
      <c r="H1526" s="117"/>
      <c r="I1526" s="129">
        <v>856</v>
      </c>
      <c r="J1526" s="130">
        <v>2253</v>
      </c>
      <c r="K1526" s="118"/>
      <c r="L1526" s="119"/>
      <c r="M1526" s="110">
        <f>IF(L1526="",J1526,(MIN(#REF!,(L1526*1.6*#REF!))))</f>
        <v>2253</v>
      </c>
      <c r="N1526" s="111" t="e">
        <f>IF(M1526=0,0,(M1526/#REF!))</f>
        <v>#REF!</v>
      </c>
    </row>
    <row r="1527" spans="2:14">
      <c r="B1527" s="120">
        <v>127779</v>
      </c>
      <c r="C1527" s="121" t="s">
        <v>2705</v>
      </c>
      <c r="D1527" s="109">
        <f>SUMIF(B$3:B$3844,B1527,M$3:M$3844)/(SUMIF(B$3:B$3844,B1527,J$3:J$3844))</f>
        <v>1</v>
      </c>
      <c r="E1527" s="122">
        <v>230488</v>
      </c>
      <c r="F1527" s="128" t="s">
        <v>2666</v>
      </c>
      <c r="G1527" s="128"/>
      <c r="H1527" s="117"/>
      <c r="I1527" s="129">
        <v>167</v>
      </c>
      <c r="J1527" s="130">
        <v>211</v>
      </c>
      <c r="K1527" s="118"/>
      <c r="L1527" s="119"/>
      <c r="M1527" s="110">
        <f>IF(L1527="",J1527,(MIN(#REF!,(L1527*1.6*#REF!))))</f>
        <v>211</v>
      </c>
      <c r="N1527" s="111" t="e">
        <f>IF(M1527=0,0,(M1527/#REF!))</f>
        <v>#REF!</v>
      </c>
    </row>
    <row r="1528" spans="2:14">
      <c r="B1528" s="120">
        <v>127779</v>
      </c>
      <c r="C1528" s="121" t="s">
        <v>2705</v>
      </c>
      <c r="D1528" s="109">
        <f>SUMIF(B$3:B$3844,B1528,M$3:M$3844)/(SUMIF(B$3:B$3844,B1528,J$3:J$3844))</f>
        <v>1</v>
      </c>
      <c r="E1528" s="122">
        <v>16024090</v>
      </c>
      <c r="F1528" s="128" t="s">
        <v>2667</v>
      </c>
      <c r="G1528" s="128"/>
      <c r="H1528" s="117"/>
      <c r="I1528" s="129">
        <v>161</v>
      </c>
      <c r="J1528" s="130">
        <v>183</v>
      </c>
      <c r="K1528" s="118"/>
      <c r="L1528" s="119"/>
      <c r="M1528" s="110">
        <f>IF(L1528="",J1528,(MIN(#REF!,(L1528*1.6*#REF!))))</f>
        <v>183</v>
      </c>
      <c r="N1528" s="111" t="e">
        <f>IF(M1528=0,0,(M1528/#REF!))</f>
        <v>#REF!</v>
      </c>
    </row>
    <row r="1529" spans="2:14">
      <c r="B1529" s="120">
        <v>127779</v>
      </c>
      <c r="C1529" s="121" t="s">
        <v>2705</v>
      </c>
      <c r="D1529" s="109">
        <f>SUMIF(B$3:B$3844,B1529,M$3:M$3844)/(SUMIF(B$3:B$3844,B1529,J$3:J$3844))</f>
        <v>1</v>
      </c>
      <c r="E1529" s="122">
        <v>37581</v>
      </c>
      <c r="F1529" s="128" t="s">
        <v>2668</v>
      </c>
      <c r="G1529" s="128"/>
      <c r="H1529" s="117"/>
      <c r="I1529" s="129">
        <v>739</v>
      </c>
      <c r="J1529" s="130">
        <v>890</v>
      </c>
      <c r="K1529" s="118"/>
      <c r="L1529" s="119"/>
      <c r="M1529" s="110">
        <f>IF(L1529="",J1529,(MIN(#REF!,(L1529*1.6*#REF!))))</f>
        <v>890</v>
      </c>
      <c r="N1529" s="111" t="e">
        <f>IF(M1529=0,0,(M1529/#REF!))</f>
        <v>#REF!</v>
      </c>
    </row>
    <row r="1530" spans="2:14">
      <c r="B1530" s="120">
        <v>127779</v>
      </c>
      <c r="C1530" s="121" t="s">
        <v>2705</v>
      </c>
      <c r="D1530" s="109">
        <f>SUMIF(B$3:B$3844,B1530,M$3:M$3844)/(SUMIF(B$3:B$3844,B1530,J$3:J$3844))</f>
        <v>1</v>
      </c>
      <c r="E1530" s="122">
        <v>37655</v>
      </c>
      <c r="F1530" s="128" t="s">
        <v>2669</v>
      </c>
      <c r="G1530" s="128"/>
      <c r="H1530" s="117"/>
      <c r="I1530" s="129">
        <v>750</v>
      </c>
      <c r="J1530" s="130">
        <v>775</v>
      </c>
      <c r="K1530" s="118"/>
      <c r="L1530" s="119"/>
      <c r="M1530" s="110">
        <f>IF(L1530="",J1530,(MIN(#REF!,(L1530*1.6*#REF!))))</f>
        <v>775</v>
      </c>
      <c r="N1530" s="111" t="e">
        <f>IF(M1530=0,0,(M1530/#REF!))</f>
        <v>#REF!</v>
      </c>
    </row>
    <row r="1531" spans="2:14">
      <c r="B1531" s="120">
        <v>127779</v>
      </c>
      <c r="C1531" s="121" t="s">
        <v>2705</v>
      </c>
      <c r="D1531" s="109">
        <f>SUMIF(B$3:B$3844,B1531,M$3:M$3844)/(SUMIF(B$3:B$3844,B1531,J$3:J$3844))</f>
        <v>1</v>
      </c>
      <c r="E1531" s="122">
        <v>37601</v>
      </c>
      <c r="F1531" s="128" t="s">
        <v>2670</v>
      </c>
      <c r="G1531" s="128"/>
      <c r="H1531" s="117"/>
      <c r="I1531" s="129">
        <v>636</v>
      </c>
      <c r="J1531" s="130">
        <v>936</v>
      </c>
      <c r="K1531" s="118"/>
      <c r="L1531" s="119"/>
      <c r="M1531" s="110">
        <f>IF(L1531="",J1531,(MIN(#REF!,(L1531*1.6*#REF!))))</f>
        <v>936</v>
      </c>
      <c r="N1531" s="111" t="e">
        <f>IF(M1531=0,0,(M1531/#REF!))</f>
        <v>#REF!</v>
      </c>
    </row>
    <row r="1532" spans="2:14">
      <c r="B1532" s="120">
        <v>127779</v>
      </c>
      <c r="C1532" s="121" t="s">
        <v>2705</v>
      </c>
      <c r="D1532" s="109">
        <f>SUMIF(B$3:B$3844,B1532,M$3:M$3844)/(SUMIF(B$3:B$3844,B1532,J$3:J$3844))</f>
        <v>1</v>
      </c>
      <c r="E1532" s="122">
        <v>224832</v>
      </c>
      <c r="F1532" s="128" t="s">
        <v>2671</v>
      </c>
      <c r="G1532" s="128"/>
      <c r="H1532" s="117"/>
      <c r="I1532" s="129">
        <v>348</v>
      </c>
      <c r="J1532" s="130">
        <v>619</v>
      </c>
      <c r="K1532" s="118"/>
      <c r="L1532" s="119"/>
      <c r="M1532" s="110">
        <f>IF(L1532="",J1532,(MIN(#REF!,(L1532*1.6*#REF!))))</f>
        <v>619</v>
      </c>
      <c r="N1532" s="111" t="e">
        <f>IF(M1532=0,0,(M1532/#REF!))</f>
        <v>#REF!</v>
      </c>
    </row>
    <row r="1533" spans="2:14">
      <c r="B1533" s="120">
        <v>127779</v>
      </c>
      <c r="C1533" s="121" t="s">
        <v>2705</v>
      </c>
      <c r="D1533" s="109">
        <f>SUMIF(B$3:B$3844,B1533,M$3:M$3844)/(SUMIF(B$3:B$3844,B1533,J$3:J$3844))</f>
        <v>1</v>
      </c>
      <c r="E1533" s="122">
        <v>37720</v>
      </c>
      <c r="F1533" s="128" t="s">
        <v>2672</v>
      </c>
      <c r="G1533" s="128"/>
      <c r="H1533" s="117"/>
      <c r="I1533" s="129">
        <v>1488</v>
      </c>
      <c r="J1533" s="130">
        <v>1990</v>
      </c>
      <c r="K1533" s="118"/>
      <c r="L1533" s="119"/>
      <c r="M1533" s="110">
        <f>IF(L1533="",J1533,(MIN(#REF!,(L1533*1.6*#REF!))))</f>
        <v>1990</v>
      </c>
      <c r="N1533" s="111" t="e">
        <f>IF(M1533=0,0,(M1533/#REF!))</f>
        <v>#REF!</v>
      </c>
    </row>
    <row r="1534" spans="2:14">
      <c r="B1534" s="120">
        <v>127779</v>
      </c>
      <c r="C1534" s="121" t="s">
        <v>2705</v>
      </c>
      <c r="D1534" s="109">
        <f>SUMIF(B$3:B$3844,B1534,M$3:M$3844)/(SUMIF(B$3:B$3844,B1534,J$3:J$3844))</f>
        <v>1</v>
      </c>
      <c r="E1534" s="122">
        <v>37691</v>
      </c>
      <c r="F1534" s="128" t="s">
        <v>2673</v>
      </c>
      <c r="G1534" s="128"/>
      <c r="H1534" s="117"/>
      <c r="I1534" s="129">
        <v>678</v>
      </c>
      <c r="J1534" s="130">
        <v>742</v>
      </c>
      <c r="K1534" s="118"/>
      <c r="L1534" s="119"/>
      <c r="M1534" s="110">
        <f>IF(L1534="",J1534,(MIN(#REF!,(L1534*1.6*#REF!))))</f>
        <v>742</v>
      </c>
      <c r="N1534" s="111" t="e">
        <f>IF(M1534=0,0,(M1534/#REF!))</f>
        <v>#REF!</v>
      </c>
    </row>
    <row r="1535" spans="2:14">
      <c r="B1535" s="120">
        <v>127779</v>
      </c>
      <c r="C1535" s="121" t="s">
        <v>2705</v>
      </c>
      <c r="D1535" s="109">
        <f>SUMIF(B$3:B$3844,B1535,M$3:M$3844)/(SUMIF(B$3:B$3844,B1535,J$3:J$3844))</f>
        <v>1</v>
      </c>
      <c r="E1535" s="122">
        <v>16022195</v>
      </c>
      <c r="F1535" s="128" t="s">
        <v>2674</v>
      </c>
      <c r="G1535" s="128"/>
      <c r="H1535" s="117"/>
      <c r="I1535" s="129">
        <v>314</v>
      </c>
      <c r="J1535" s="130">
        <v>765</v>
      </c>
      <c r="K1535" s="118"/>
      <c r="L1535" s="119"/>
      <c r="M1535" s="110">
        <f>IF(L1535="",J1535,(MIN(#REF!,(L1535*1.6*#REF!))))</f>
        <v>765</v>
      </c>
      <c r="N1535" s="111" t="e">
        <f>IF(M1535=0,0,(M1535/#REF!))</f>
        <v>#REF!</v>
      </c>
    </row>
    <row r="1536" spans="2:14">
      <c r="B1536" s="120">
        <v>127779</v>
      </c>
      <c r="C1536" s="121" t="s">
        <v>2705</v>
      </c>
      <c r="D1536" s="109">
        <f>SUMIF(B$3:B$3844,B1536,M$3:M$3844)/(SUMIF(B$3:B$3844,B1536,J$3:J$3844))</f>
        <v>1</v>
      </c>
      <c r="E1536" s="122">
        <v>37839</v>
      </c>
      <c r="F1536" s="128" t="s">
        <v>2675</v>
      </c>
      <c r="G1536" s="128"/>
      <c r="H1536" s="117"/>
      <c r="I1536" s="129">
        <v>357</v>
      </c>
      <c r="J1536" s="130">
        <v>917</v>
      </c>
      <c r="K1536" s="118"/>
      <c r="L1536" s="119"/>
      <c r="M1536" s="110">
        <f>IF(L1536="",J1536,(MIN(#REF!,(L1536*1.6*#REF!))))</f>
        <v>917</v>
      </c>
      <c r="N1536" s="111" t="e">
        <f>IF(M1536=0,0,(M1536/#REF!))</f>
        <v>#REF!</v>
      </c>
    </row>
    <row r="1537" spans="2:14">
      <c r="B1537" s="120">
        <v>127779</v>
      </c>
      <c r="C1537" s="121" t="s">
        <v>2705</v>
      </c>
      <c r="D1537" s="109">
        <f>SUMIF(B$3:B$3844,B1537,M$3:M$3844)/(SUMIF(B$3:B$3844,B1537,J$3:J$3844))</f>
        <v>1</v>
      </c>
      <c r="E1537" s="122">
        <v>37783</v>
      </c>
      <c r="F1537" s="128" t="s">
        <v>2676</v>
      </c>
      <c r="G1537" s="128"/>
      <c r="H1537" s="117"/>
      <c r="I1537" s="129">
        <v>466</v>
      </c>
      <c r="J1537" s="130">
        <v>559</v>
      </c>
      <c r="K1537" s="118"/>
      <c r="L1537" s="119"/>
      <c r="M1537" s="110">
        <f>IF(L1537="",J1537,(MIN(#REF!,(L1537*1.6*#REF!))))</f>
        <v>559</v>
      </c>
      <c r="N1537" s="111" t="e">
        <f>IF(M1537=0,0,(M1537/#REF!))</f>
        <v>#REF!</v>
      </c>
    </row>
    <row r="1538" spans="2:14">
      <c r="B1538" s="120">
        <v>127779</v>
      </c>
      <c r="C1538" s="121" t="s">
        <v>2705</v>
      </c>
      <c r="D1538" s="109">
        <f>SUMIF(B$3:B$3844,B1538,M$3:M$3844)/(SUMIF(B$3:B$3844,B1538,J$3:J$3844))</f>
        <v>1</v>
      </c>
      <c r="E1538" s="122">
        <v>37790</v>
      </c>
      <c r="F1538" s="128" t="s">
        <v>2677</v>
      </c>
      <c r="G1538" s="128"/>
      <c r="H1538" s="117"/>
      <c r="I1538" s="129">
        <v>50</v>
      </c>
      <c r="J1538" s="130">
        <v>68</v>
      </c>
      <c r="K1538" s="118"/>
      <c r="L1538" s="119"/>
      <c r="M1538" s="110">
        <f>IF(L1538="",J1538,(MIN(#REF!,(L1538*1.6*#REF!))))</f>
        <v>68</v>
      </c>
      <c r="N1538" s="111" t="e">
        <f>IF(M1538=0,0,(M1538/#REF!))</f>
        <v>#REF!</v>
      </c>
    </row>
    <row r="1539" spans="2:14">
      <c r="B1539" s="120">
        <v>127779</v>
      </c>
      <c r="C1539" s="121" t="s">
        <v>2705</v>
      </c>
      <c r="D1539" s="109">
        <f>SUMIF(B$3:B$3844,B1539,M$3:M$3844)/(SUMIF(B$3:B$3844,B1539,J$3:J$3844))</f>
        <v>1</v>
      </c>
      <c r="E1539" s="122">
        <v>227223</v>
      </c>
      <c r="F1539" s="128" t="s">
        <v>2678</v>
      </c>
      <c r="G1539" s="128"/>
      <c r="H1539" s="117"/>
      <c r="I1539" s="129">
        <v>113</v>
      </c>
      <c r="J1539" s="130">
        <v>123</v>
      </c>
      <c r="K1539" s="118"/>
      <c r="L1539" s="119"/>
      <c r="M1539" s="110">
        <f>IF(L1539="",J1539,(MIN(#REF!,(L1539*1.6*#REF!))))</f>
        <v>123</v>
      </c>
      <c r="N1539" s="111" t="e">
        <f>IF(M1539=0,0,(M1539/#REF!))</f>
        <v>#REF!</v>
      </c>
    </row>
    <row r="1540" spans="2:14">
      <c r="B1540" s="120">
        <v>127779</v>
      </c>
      <c r="C1540" s="121" t="s">
        <v>2705</v>
      </c>
      <c r="D1540" s="109">
        <f>SUMIF(B$3:B$3844,B1540,M$3:M$3844)/(SUMIF(B$3:B$3844,B1540,J$3:J$3844))</f>
        <v>1</v>
      </c>
      <c r="E1540" s="122">
        <v>16024088</v>
      </c>
      <c r="F1540" s="128" t="s">
        <v>2679</v>
      </c>
      <c r="G1540" s="128"/>
      <c r="H1540" s="117"/>
      <c r="I1540" s="129">
        <v>88</v>
      </c>
      <c r="J1540" s="130">
        <v>98</v>
      </c>
      <c r="K1540" s="118"/>
      <c r="L1540" s="119"/>
      <c r="M1540" s="110">
        <f>IF(L1540="",J1540,(MIN(#REF!,(L1540*1.6*#REF!))))</f>
        <v>98</v>
      </c>
      <c r="N1540" s="111" t="e">
        <f>IF(M1540=0,0,(M1540/#REF!))</f>
        <v>#REF!</v>
      </c>
    </row>
    <row r="1541" spans="2:14">
      <c r="B1541" s="120">
        <v>127779</v>
      </c>
      <c r="C1541" s="121" t="s">
        <v>2705</v>
      </c>
      <c r="D1541" s="109">
        <f>SUMIF(B$3:B$3844,B1541,M$3:M$3844)/(SUMIF(B$3:B$3844,B1541,J$3:J$3844))</f>
        <v>1</v>
      </c>
      <c r="E1541" s="122">
        <v>37623</v>
      </c>
      <c r="F1541" s="128" t="s">
        <v>2680</v>
      </c>
      <c r="G1541" s="128"/>
      <c r="H1541" s="117"/>
      <c r="I1541" s="129">
        <v>318</v>
      </c>
      <c r="J1541" s="130">
        <v>356</v>
      </c>
      <c r="K1541" s="118"/>
      <c r="L1541" s="119"/>
      <c r="M1541" s="110">
        <f>IF(L1541="",J1541,(MIN(#REF!,(L1541*1.6*#REF!))))</f>
        <v>356</v>
      </c>
      <c r="N1541" s="111" t="e">
        <f>IF(M1541=0,0,(M1541/#REF!))</f>
        <v>#REF!</v>
      </c>
    </row>
    <row r="1542" spans="2:14">
      <c r="B1542" s="120">
        <v>127779</v>
      </c>
      <c r="C1542" s="121" t="s">
        <v>2705</v>
      </c>
      <c r="D1542" s="109">
        <f>SUMIF(B$3:B$3844,B1542,M$3:M$3844)/(SUMIF(B$3:B$3844,B1542,J$3:J$3844))</f>
        <v>1</v>
      </c>
      <c r="E1542" s="122">
        <v>37803</v>
      </c>
      <c r="F1542" s="128" t="s">
        <v>2681</v>
      </c>
      <c r="G1542" s="128"/>
      <c r="H1542" s="117"/>
      <c r="I1542" s="129">
        <v>202</v>
      </c>
      <c r="J1542" s="130">
        <v>685</v>
      </c>
      <c r="K1542" s="118"/>
      <c r="L1542" s="119"/>
      <c r="M1542" s="110">
        <f>IF(L1542="",J1542,(MIN(#REF!,(L1542*1.6*#REF!))))</f>
        <v>685</v>
      </c>
      <c r="N1542" s="111" t="e">
        <f>IF(M1542=0,0,(M1542/#REF!))</f>
        <v>#REF!</v>
      </c>
    </row>
    <row r="1543" spans="2:14">
      <c r="B1543" s="120">
        <v>127779</v>
      </c>
      <c r="C1543" s="121" t="s">
        <v>2705</v>
      </c>
      <c r="D1543" s="109">
        <f>SUMIF(B$3:B$3844,B1543,M$3:M$3844)/(SUMIF(B$3:B$3844,B1543,J$3:J$3844))</f>
        <v>1</v>
      </c>
      <c r="E1543" s="122">
        <v>37830</v>
      </c>
      <c r="F1543" s="128" t="s">
        <v>2682</v>
      </c>
      <c r="G1543" s="128"/>
      <c r="H1543" s="117"/>
      <c r="I1543" s="129">
        <v>377</v>
      </c>
      <c r="J1543" s="130">
        <v>417</v>
      </c>
      <c r="K1543" s="118"/>
      <c r="L1543" s="119"/>
      <c r="M1543" s="110">
        <f>IF(L1543="",J1543,(MIN(#REF!,(L1543*1.6*#REF!))))</f>
        <v>417</v>
      </c>
      <c r="N1543" s="111" t="e">
        <f>IF(M1543=0,0,(M1543/#REF!))</f>
        <v>#REF!</v>
      </c>
    </row>
    <row r="1544" spans="2:14">
      <c r="B1544" s="120">
        <v>127779</v>
      </c>
      <c r="C1544" s="121" t="s">
        <v>2705</v>
      </c>
      <c r="D1544" s="109">
        <f>SUMIF(B$3:B$3844,B1544,M$3:M$3844)/(SUMIF(B$3:B$3844,B1544,J$3:J$3844))</f>
        <v>1</v>
      </c>
      <c r="E1544" s="122">
        <v>37831</v>
      </c>
      <c r="F1544" s="128" t="s">
        <v>2683</v>
      </c>
      <c r="G1544" s="128"/>
      <c r="H1544" s="117"/>
      <c r="I1544" s="129">
        <v>710</v>
      </c>
      <c r="J1544" s="130">
        <v>815</v>
      </c>
      <c r="K1544" s="118"/>
      <c r="L1544" s="119"/>
      <c r="M1544" s="110">
        <f>IF(L1544="",J1544,(MIN(#REF!,(L1544*1.6*#REF!))))</f>
        <v>815</v>
      </c>
      <c r="N1544" s="111" t="e">
        <f>IF(M1544=0,0,(M1544/#REF!))</f>
        <v>#REF!</v>
      </c>
    </row>
    <row r="1545" spans="2:14">
      <c r="B1545" s="120">
        <v>127779</v>
      </c>
      <c r="C1545" s="121" t="s">
        <v>2705</v>
      </c>
      <c r="D1545" s="109">
        <f>SUMIF(B$3:B$3844,B1545,M$3:M$3844)/(SUMIF(B$3:B$3844,B1545,J$3:J$3844))</f>
        <v>1</v>
      </c>
      <c r="E1545" s="122">
        <v>37589</v>
      </c>
      <c r="F1545" s="128" t="s">
        <v>2684</v>
      </c>
      <c r="G1545" s="128"/>
      <c r="H1545" s="117"/>
      <c r="I1545" s="129">
        <v>478</v>
      </c>
      <c r="J1545" s="130">
        <v>541</v>
      </c>
      <c r="K1545" s="118"/>
      <c r="L1545" s="119"/>
      <c r="M1545" s="110">
        <f>IF(L1545="",J1545,(MIN(#REF!,(L1545*1.6*#REF!))))</f>
        <v>541</v>
      </c>
      <c r="N1545" s="111" t="e">
        <f>IF(M1545=0,0,(M1545/#REF!))</f>
        <v>#REF!</v>
      </c>
    </row>
    <row r="1546" spans="2:14">
      <c r="B1546" s="120">
        <v>127779</v>
      </c>
      <c r="C1546" s="121" t="s">
        <v>2705</v>
      </c>
      <c r="D1546" s="109">
        <f>SUMIF(B$3:B$3844,B1546,M$3:M$3844)/(SUMIF(B$3:B$3844,B1546,J$3:J$3844))</f>
        <v>1</v>
      </c>
      <c r="E1546" s="122">
        <v>37594</v>
      </c>
      <c r="F1546" s="128" t="s">
        <v>2685</v>
      </c>
      <c r="G1546" s="128"/>
      <c r="H1546" s="117"/>
      <c r="I1546" s="129">
        <v>746</v>
      </c>
      <c r="J1546" s="130">
        <v>966</v>
      </c>
      <c r="K1546" s="118"/>
      <c r="L1546" s="119"/>
      <c r="M1546" s="110">
        <f>IF(L1546="",J1546,(MIN(#REF!,(L1546*1.6*#REF!))))</f>
        <v>966</v>
      </c>
      <c r="N1546" s="111" t="e">
        <f>IF(M1546=0,0,(M1546/#REF!))</f>
        <v>#REF!</v>
      </c>
    </row>
    <row r="1547" spans="2:14">
      <c r="B1547" s="120">
        <v>127779</v>
      </c>
      <c r="C1547" s="121" t="s">
        <v>2705</v>
      </c>
      <c r="D1547" s="109">
        <f>SUMIF(B$3:B$3844,B1547,M$3:M$3844)/(SUMIF(B$3:B$3844,B1547,J$3:J$3844))</f>
        <v>1</v>
      </c>
      <c r="E1547" s="122">
        <v>37746</v>
      </c>
      <c r="F1547" s="128" t="s">
        <v>2686</v>
      </c>
      <c r="G1547" s="128"/>
      <c r="H1547" s="117"/>
      <c r="I1547" s="129">
        <v>615</v>
      </c>
      <c r="J1547" s="130">
        <v>702</v>
      </c>
      <c r="K1547" s="118"/>
      <c r="L1547" s="119"/>
      <c r="M1547" s="110">
        <f>IF(L1547="",J1547,(MIN(#REF!,(L1547*1.6*#REF!))))</f>
        <v>702</v>
      </c>
      <c r="N1547" s="111" t="e">
        <f>IF(M1547=0,0,(M1547/#REF!))</f>
        <v>#REF!</v>
      </c>
    </row>
    <row r="1548" spans="2:14">
      <c r="B1548" s="120">
        <v>127779</v>
      </c>
      <c r="C1548" s="121" t="s">
        <v>2705</v>
      </c>
      <c r="D1548" s="109">
        <f>SUMIF(B$3:B$3844,B1548,M$3:M$3844)/(SUMIF(B$3:B$3844,B1548,J$3:J$3844))</f>
        <v>1</v>
      </c>
      <c r="E1548" s="122">
        <v>37747</v>
      </c>
      <c r="F1548" s="128" t="s">
        <v>2687</v>
      </c>
      <c r="G1548" s="128"/>
      <c r="H1548" s="117"/>
      <c r="I1548" s="129">
        <v>86</v>
      </c>
      <c r="J1548" s="130">
        <v>109</v>
      </c>
      <c r="K1548" s="118"/>
      <c r="L1548" s="119"/>
      <c r="M1548" s="110">
        <f>IF(L1548="",J1548,(MIN(#REF!,(L1548*1.6*#REF!))))</f>
        <v>109</v>
      </c>
      <c r="N1548" s="111" t="e">
        <f>IF(M1548=0,0,(M1548/#REF!))</f>
        <v>#REF!</v>
      </c>
    </row>
    <row r="1549" spans="2:14">
      <c r="B1549" s="120">
        <v>127779</v>
      </c>
      <c r="C1549" s="121" t="s">
        <v>2705</v>
      </c>
      <c r="D1549" s="109">
        <f>SUMIF(B$3:B$3844,B1549,M$3:M$3844)/(SUMIF(B$3:B$3844,B1549,J$3:J$3844))</f>
        <v>1</v>
      </c>
      <c r="E1549" s="122">
        <v>37625</v>
      </c>
      <c r="F1549" s="128" t="s">
        <v>2688</v>
      </c>
      <c r="G1549" s="128"/>
      <c r="H1549" s="117"/>
      <c r="I1549" s="129">
        <v>463</v>
      </c>
      <c r="J1549" s="130">
        <v>830</v>
      </c>
      <c r="K1549" s="118"/>
      <c r="L1549" s="119"/>
      <c r="M1549" s="110">
        <f>IF(L1549="",J1549,(MIN(#REF!,(L1549*1.6*#REF!))))</f>
        <v>830</v>
      </c>
      <c r="N1549" s="111" t="e">
        <f>IF(M1549=0,0,(M1549/#REF!))</f>
        <v>#REF!</v>
      </c>
    </row>
    <row r="1550" spans="2:14">
      <c r="B1550" s="120">
        <v>127779</v>
      </c>
      <c r="C1550" s="121" t="s">
        <v>2705</v>
      </c>
      <c r="D1550" s="109">
        <f>SUMIF(B$3:B$3844,B1550,M$3:M$3844)/(SUMIF(B$3:B$3844,B1550,J$3:J$3844))</f>
        <v>1</v>
      </c>
      <c r="E1550" s="122">
        <v>37587</v>
      </c>
      <c r="F1550" s="128" t="s">
        <v>2689</v>
      </c>
      <c r="G1550" s="128"/>
      <c r="H1550" s="117"/>
      <c r="I1550" s="129">
        <v>474</v>
      </c>
      <c r="J1550" s="130">
        <v>886</v>
      </c>
      <c r="K1550" s="118"/>
      <c r="L1550" s="119"/>
      <c r="M1550" s="110">
        <f>IF(L1550="",J1550,(MIN(#REF!,(L1550*1.6*#REF!))))</f>
        <v>886</v>
      </c>
      <c r="N1550" s="111" t="e">
        <f>IF(M1550=0,0,(M1550/#REF!))</f>
        <v>#REF!</v>
      </c>
    </row>
    <row r="1551" spans="2:14">
      <c r="B1551" s="120">
        <v>127779</v>
      </c>
      <c r="C1551" s="121" t="s">
        <v>2705</v>
      </c>
      <c r="D1551" s="109">
        <f>SUMIF(B$3:B$3844,B1551,M$3:M$3844)/(SUMIF(B$3:B$3844,B1551,J$3:J$3844))</f>
        <v>1</v>
      </c>
      <c r="E1551" s="122">
        <v>37666</v>
      </c>
      <c r="F1551" s="128" t="s">
        <v>2690</v>
      </c>
      <c r="G1551" s="128"/>
      <c r="H1551" s="117"/>
      <c r="I1551" s="129">
        <v>532</v>
      </c>
      <c r="J1551" s="130">
        <v>544</v>
      </c>
      <c r="K1551" s="118"/>
      <c r="L1551" s="119"/>
      <c r="M1551" s="110">
        <f>IF(L1551="",J1551,(MIN(#REF!,(L1551*1.6*#REF!))))</f>
        <v>544</v>
      </c>
      <c r="N1551" s="111" t="e">
        <f>IF(M1551=0,0,(M1551/#REF!))</f>
        <v>#REF!</v>
      </c>
    </row>
    <row r="1552" spans="2:14">
      <c r="B1552" s="120">
        <v>127779</v>
      </c>
      <c r="C1552" s="121" t="s">
        <v>2705</v>
      </c>
      <c r="D1552" s="109">
        <f>SUMIF(B$3:B$3844,B1552,M$3:M$3844)/(SUMIF(B$3:B$3844,B1552,J$3:J$3844))</f>
        <v>1</v>
      </c>
      <c r="E1552" s="122">
        <v>37572</v>
      </c>
      <c r="F1552" s="128" t="s">
        <v>2691</v>
      </c>
      <c r="G1552" s="128"/>
      <c r="H1552" s="117"/>
      <c r="I1552" s="129">
        <v>350</v>
      </c>
      <c r="J1552" s="130">
        <v>1012</v>
      </c>
      <c r="K1552" s="118"/>
      <c r="L1552" s="119"/>
      <c r="M1552" s="110">
        <f>IF(L1552="",J1552,(MIN(#REF!,(L1552*1.6*#REF!))))</f>
        <v>1012</v>
      </c>
      <c r="N1552" s="111" t="e">
        <f>IF(M1552=0,0,(M1552/#REF!))</f>
        <v>#REF!</v>
      </c>
    </row>
    <row r="1553" spans="2:14">
      <c r="B1553" s="120">
        <v>127779</v>
      </c>
      <c r="C1553" s="121" t="s">
        <v>2705</v>
      </c>
      <c r="D1553" s="109">
        <f>SUMIF(B$3:B$3844,B1553,M$3:M$3844)/(SUMIF(B$3:B$3844,B1553,J$3:J$3844))</f>
        <v>1</v>
      </c>
      <c r="E1553" s="122">
        <v>203981</v>
      </c>
      <c r="F1553" s="128" t="s">
        <v>2692</v>
      </c>
      <c r="G1553" s="128"/>
      <c r="H1553" s="117"/>
      <c r="I1553" s="129">
        <v>181</v>
      </c>
      <c r="J1553" s="130">
        <v>955</v>
      </c>
      <c r="K1553" s="118"/>
      <c r="L1553" s="119"/>
      <c r="M1553" s="110">
        <f>IF(L1553="",J1553,(MIN(#REF!,(L1553*1.6*#REF!))))</f>
        <v>955</v>
      </c>
      <c r="N1553" s="111" t="e">
        <f>IF(M1553=0,0,(M1553/#REF!))</f>
        <v>#REF!</v>
      </c>
    </row>
    <row r="1554" spans="2:14">
      <c r="B1554" s="120">
        <v>127779</v>
      </c>
      <c r="C1554" s="121" t="s">
        <v>2705</v>
      </c>
      <c r="D1554" s="109">
        <f>SUMIF(B$3:B$3844,B1554,M$3:M$3844)/(SUMIF(B$3:B$3844,B1554,J$3:J$3844))</f>
        <v>1</v>
      </c>
      <c r="E1554" s="122">
        <v>37773</v>
      </c>
      <c r="F1554" s="128" t="s">
        <v>2693</v>
      </c>
      <c r="G1554" s="128"/>
      <c r="H1554" s="117"/>
      <c r="I1554" s="129">
        <v>272</v>
      </c>
      <c r="J1554" s="130">
        <v>355</v>
      </c>
      <c r="K1554" s="118"/>
      <c r="L1554" s="119"/>
      <c r="M1554" s="110">
        <f>IF(L1554="",J1554,(MIN(#REF!,(L1554*1.6*#REF!))))</f>
        <v>355</v>
      </c>
      <c r="N1554" s="111" t="e">
        <f>IF(M1554=0,0,(M1554/#REF!))</f>
        <v>#REF!</v>
      </c>
    </row>
    <row r="1555" spans="2:14">
      <c r="B1555" s="120">
        <v>127779</v>
      </c>
      <c r="C1555" s="121" t="s">
        <v>2705</v>
      </c>
      <c r="D1555" s="109">
        <f>SUMIF(B$3:B$3844,B1555,M$3:M$3844)/(SUMIF(B$3:B$3844,B1555,J$3:J$3844))</f>
        <v>1</v>
      </c>
      <c r="E1555" s="122">
        <v>37677</v>
      </c>
      <c r="F1555" s="128" t="s">
        <v>2694</v>
      </c>
      <c r="G1555" s="128"/>
      <c r="H1555" s="117"/>
      <c r="I1555" s="129">
        <v>508</v>
      </c>
      <c r="J1555" s="130">
        <v>530</v>
      </c>
      <c r="K1555" s="118"/>
      <c r="L1555" s="119"/>
      <c r="M1555" s="110">
        <f>IF(L1555="",J1555,(MIN(#REF!,(L1555*1.6*#REF!))))</f>
        <v>530</v>
      </c>
      <c r="N1555" s="111" t="e">
        <f>IF(M1555=0,0,(M1555/#REF!))</f>
        <v>#REF!</v>
      </c>
    </row>
    <row r="1556" spans="2:14">
      <c r="B1556" s="120">
        <v>127779</v>
      </c>
      <c r="C1556" s="121" t="s">
        <v>2705</v>
      </c>
      <c r="D1556" s="109">
        <f>SUMIF(B$3:B$3844,B1556,M$3:M$3844)/(SUMIF(B$3:B$3844,B1556,J$3:J$3844))</f>
        <v>1</v>
      </c>
      <c r="E1556" s="122">
        <v>37840</v>
      </c>
      <c r="F1556" s="128" t="s">
        <v>2695</v>
      </c>
      <c r="G1556" s="128"/>
      <c r="H1556" s="117"/>
      <c r="I1556" s="129">
        <v>1248</v>
      </c>
      <c r="J1556" s="130">
        <v>2421</v>
      </c>
      <c r="K1556" s="118"/>
      <c r="L1556" s="119"/>
      <c r="M1556" s="110">
        <f>IF(L1556="",J1556,(MIN(#REF!,(L1556*1.6*#REF!))))</f>
        <v>2421</v>
      </c>
      <c r="N1556" s="111" t="e">
        <f>IF(M1556=0,0,(M1556/#REF!))</f>
        <v>#REF!</v>
      </c>
    </row>
    <row r="1557" spans="2:14">
      <c r="B1557" s="120">
        <v>127779</v>
      </c>
      <c r="C1557" s="121" t="s">
        <v>2705</v>
      </c>
      <c r="D1557" s="109">
        <f>SUMIF(B$3:B$3844,B1557,M$3:M$3844)/(SUMIF(B$3:B$3844,B1557,J$3:J$3844))</f>
        <v>1</v>
      </c>
      <c r="E1557" s="122">
        <v>37707</v>
      </c>
      <c r="F1557" s="128" t="s">
        <v>2696</v>
      </c>
      <c r="G1557" s="128"/>
      <c r="H1557" s="117"/>
      <c r="I1557" s="129">
        <v>303</v>
      </c>
      <c r="J1557" s="130">
        <v>868</v>
      </c>
      <c r="K1557" s="118"/>
      <c r="L1557" s="119"/>
      <c r="M1557" s="110">
        <f>IF(L1557="",J1557,(MIN(#REF!,(L1557*1.6*#REF!))))</f>
        <v>868</v>
      </c>
      <c r="N1557" s="111" t="e">
        <f>IF(M1557=0,0,(M1557/#REF!))</f>
        <v>#REF!</v>
      </c>
    </row>
    <row r="1558" spans="2:14">
      <c r="B1558" s="120">
        <v>127779</v>
      </c>
      <c r="C1558" s="121" t="s">
        <v>2705</v>
      </c>
      <c r="D1558" s="109">
        <f>SUMIF(B$3:B$3844,B1558,M$3:M$3844)/(SUMIF(B$3:B$3844,B1558,J$3:J$3844))</f>
        <v>1</v>
      </c>
      <c r="E1558" s="122">
        <v>170381</v>
      </c>
      <c r="F1558" s="128" t="s">
        <v>2697</v>
      </c>
      <c r="G1558" s="128"/>
      <c r="H1558" s="117"/>
      <c r="I1558" s="129">
        <v>635</v>
      </c>
      <c r="J1558" s="130">
        <v>645</v>
      </c>
      <c r="K1558" s="118"/>
      <c r="L1558" s="119"/>
      <c r="M1558" s="110">
        <f>IF(L1558="",J1558,(MIN(#REF!,(L1558*1.6*#REF!))))</f>
        <v>645</v>
      </c>
      <c r="N1558" s="111" t="e">
        <f>IF(M1558=0,0,(M1558/#REF!))</f>
        <v>#REF!</v>
      </c>
    </row>
    <row r="1559" spans="2:14">
      <c r="B1559" s="120">
        <v>127779</v>
      </c>
      <c r="C1559" s="121" t="s">
        <v>2705</v>
      </c>
      <c r="D1559" s="109">
        <f>SUMIF(B$3:B$3844,B1559,M$3:M$3844)/(SUMIF(B$3:B$3844,B1559,J$3:J$3844))</f>
        <v>1</v>
      </c>
      <c r="E1559" s="122">
        <v>37672</v>
      </c>
      <c r="F1559" s="128" t="s">
        <v>2698</v>
      </c>
      <c r="G1559" s="128"/>
      <c r="H1559" s="117"/>
      <c r="I1559" s="129">
        <v>149</v>
      </c>
      <c r="J1559" s="130">
        <v>633</v>
      </c>
      <c r="K1559" s="118"/>
      <c r="L1559" s="119"/>
      <c r="M1559" s="110">
        <f>IF(L1559="",J1559,(MIN(#REF!,(L1559*1.6*#REF!))))</f>
        <v>633</v>
      </c>
      <c r="N1559" s="111" t="e">
        <f>IF(M1559=0,0,(M1559/#REF!))</f>
        <v>#REF!</v>
      </c>
    </row>
    <row r="1560" spans="2:14">
      <c r="B1560" s="120">
        <v>127779</v>
      </c>
      <c r="C1560" s="121" t="s">
        <v>2705</v>
      </c>
      <c r="D1560" s="109">
        <f>SUMIF(B$3:B$3844,B1560,M$3:M$3844)/(SUMIF(B$3:B$3844,B1560,J$3:J$3844))</f>
        <v>1</v>
      </c>
      <c r="E1560" s="122">
        <v>37578</v>
      </c>
      <c r="F1560" s="128" t="s">
        <v>2699</v>
      </c>
      <c r="G1560" s="128"/>
      <c r="H1560" s="117"/>
      <c r="I1560" s="129">
        <v>361</v>
      </c>
      <c r="J1560" s="130">
        <v>395</v>
      </c>
      <c r="K1560" s="118"/>
      <c r="L1560" s="119"/>
      <c r="M1560" s="110">
        <f>IF(L1560="",J1560,(MIN(#REF!,(L1560*1.6*#REF!))))</f>
        <v>395</v>
      </c>
      <c r="N1560" s="111" t="e">
        <f>IF(M1560=0,0,(M1560/#REF!))</f>
        <v>#REF!</v>
      </c>
    </row>
    <row r="1561" spans="2:14">
      <c r="B1561" s="120">
        <v>127779</v>
      </c>
      <c r="C1561" s="121" t="s">
        <v>2705</v>
      </c>
      <c r="D1561" s="109">
        <f>SUMIF(B$3:B$3844,B1561,M$3:M$3844)/(SUMIF(B$3:B$3844,B1561,J$3:J$3844))</f>
        <v>1</v>
      </c>
      <c r="E1561" s="122">
        <v>37633</v>
      </c>
      <c r="F1561" s="128" t="s">
        <v>2700</v>
      </c>
      <c r="G1561" s="128"/>
      <c r="H1561" s="117"/>
      <c r="I1561" s="129">
        <v>557</v>
      </c>
      <c r="J1561" s="130">
        <v>607</v>
      </c>
      <c r="K1561" s="118"/>
      <c r="L1561" s="119"/>
      <c r="M1561" s="110">
        <f>IF(L1561="",J1561,(MIN(#REF!,(L1561*1.6*#REF!))))</f>
        <v>607</v>
      </c>
      <c r="N1561" s="111" t="e">
        <f>IF(M1561=0,0,(M1561/#REF!))</f>
        <v>#REF!</v>
      </c>
    </row>
    <row r="1562" spans="2:14">
      <c r="B1562" s="120">
        <v>127779</v>
      </c>
      <c r="C1562" s="121" t="s">
        <v>2705</v>
      </c>
      <c r="D1562" s="109">
        <f>SUMIF(B$3:B$3844,B1562,M$3:M$3844)/(SUMIF(B$3:B$3844,B1562,J$3:J$3844))</f>
        <v>1</v>
      </c>
      <c r="E1562" s="122">
        <v>37735</v>
      </c>
      <c r="F1562" s="128" t="s">
        <v>2701</v>
      </c>
      <c r="G1562" s="128"/>
      <c r="H1562" s="117"/>
      <c r="I1562" s="129">
        <v>576</v>
      </c>
      <c r="J1562" s="130">
        <v>611</v>
      </c>
      <c r="K1562" s="118"/>
      <c r="L1562" s="119"/>
      <c r="M1562" s="110">
        <f>IF(L1562="",J1562,(MIN(#REF!,(L1562*1.6*#REF!))))</f>
        <v>611</v>
      </c>
      <c r="N1562" s="111" t="e">
        <f>IF(M1562=0,0,(M1562/#REF!))</f>
        <v>#REF!</v>
      </c>
    </row>
    <row r="1563" spans="2:14">
      <c r="B1563" s="120">
        <v>127779</v>
      </c>
      <c r="C1563" s="121" t="s">
        <v>2705</v>
      </c>
      <c r="D1563" s="109">
        <f>SUMIF(B$3:B$3844,B1563,M$3:M$3844)/(SUMIF(B$3:B$3844,B1563,J$3:J$3844))</f>
        <v>1</v>
      </c>
      <c r="E1563" s="122">
        <v>37760</v>
      </c>
      <c r="F1563" s="128" t="s">
        <v>2702</v>
      </c>
      <c r="G1563" s="128"/>
      <c r="H1563" s="117"/>
      <c r="I1563" s="129">
        <v>553</v>
      </c>
      <c r="J1563" s="130">
        <v>641</v>
      </c>
      <c r="K1563" s="118"/>
      <c r="L1563" s="119"/>
      <c r="M1563" s="110">
        <f>IF(L1563="",J1563,(MIN(#REF!,(L1563*1.6*#REF!))))</f>
        <v>641</v>
      </c>
      <c r="N1563" s="111" t="e">
        <f>IF(M1563=0,0,(M1563/#REF!))</f>
        <v>#REF!</v>
      </c>
    </row>
    <row r="1564" spans="2:14">
      <c r="B1564" s="120">
        <v>127779</v>
      </c>
      <c r="C1564" s="121" t="s">
        <v>2705</v>
      </c>
      <c r="D1564" s="109">
        <f>SUMIF(B$3:B$3844,B1564,M$3:M$3844)/(SUMIF(B$3:B$3844,B1564,J$3:J$3844))</f>
        <v>1</v>
      </c>
      <c r="E1564" s="122">
        <v>37524</v>
      </c>
      <c r="F1564" s="128" t="s">
        <v>2703</v>
      </c>
      <c r="G1564" s="128"/>
      <c r="H1564" s="117"/>
      <c r="I1564" s="129">
        <v>611</v>
      </c>
      <c r="J1564" s="130">
        <v>735</v>
      </c>
      <c r="K1564" s="118"/>
      <c r="L1564" s="119"/>
      <c r="M1564" s="110">
        <f>IF(L1564="",J1564,(MIN(#REF!,(L1564*1.6*#REF!))))</f>
        <v>735</v>
      </c>
      <c r="N1564" s="111" t="e">
        <f>IF(M1564=0,0,(M1564/#REF!))</f>
        <v>#REF!</v>
      </c>
    </row>
    <row r="1565" spans="2:14">
      <c r="B1565" s="120">
        <v>127779</v>
      </c>
      <c r="C1565" s="121" t="s">
        <v>2705</v>
      </c>
      <c r="D1565" s="109">
        <f>SUMIF(B$3:B$3844,B1565,M$3:M$3844)/(SUMIF(B$3:B$3844,B1565,J$3:J$3844))</f>
        <v>1</v>
      </c>
      <c r="E1565" s="122">
        <v>37713</v>
      </c>
      <c r="F1565" s="128" t="s">
        <v>2704</v>
      </c>
      <c r="G1565" s="128"/>
      <c r="H1565" s="117"/>
      <c r="I1565" s="129">
        <v>498</v>
      </c>
      <c r="J1565" s="130">
        <v>596</v>
      </c>
      <c r="K1565" s="118"/>
      <c r="L1565" s="119"/>
      <c r="M1565" s="110">
        <f>IF(L1565="",J1565,(MIN(#REF!,(L1565*1.6*#REF!))))</f>
        <v>596</v>
      </c>
      <c r="N1565" s="111" t="e">
        <f>IF(M1565=0,0,(M1565/#REF!))</f>
        <v>#REF!</v>
      </c>
    </row>
    <row r="1566" spans="2:14">
      <c r="B1566" s="73">
        <v>127629</v>
      </c>
      <c r="C1566" s="23" t="str">
        <f>"HOLMES"</f>
        <v>HOLMES</v>
      </c>
      <c r="D1566" s="123">
        <f>SUMIF(B$3:B$3844,B1566,M$3:M$3844)/(SUMIF(B$3:B$3844,B1566,J$3:J$3844))</f>
        <v>0.88512000000000024</v>
      </c>
      <c r="E1566" s="23">
        <v>35422</v>
      </c>
      <c r="F1566" s="46" t="str">
        <f>"BETHLEHEM HIGH SCHOOL"</f>
        <v>BETHLEHEM HIGH SCHOOL</v>
      </c>
      <c r="G1566" s="23"/>
      <c r="H1566" s="23"/>
      <c r="I1566" s="41"/>
      <c r="J1566" s="41">
        <v>482</v>
      </c>
      <c r="K1566" s="20">
        <v>2015</v>
      </c>
      <c r="L1566" s="21">
        <v>0.55320000000000003</v>
      </c>
      <c r="M1566" s="110">
        <f>IF(L1566="",I1566,(MIN(J1566,(L1566*1.6*J1566))))</f>
        <v>426.62784000000005</v>
      </c>
      <c r="N1566" s="111">
        <f>IF(M1566=0,0,(M1566/J1566))</f>
        <v>0.88512000000000013</v>
      </c>
    </row>
    <row r="1567" spans="2:14">
      <c r="B1567" s="72">
        <v>127629</v>
      </c>
      <c r="C1567" s="47" t="str">
        <f>"HOLMES"</f>
        <v>HOLMES</v>
      </c>
      <c r="D1567" s="123">
        <f>SUMIF(B$3:B$3844,B1567,M$3:M$3844)/(SUMIF(B$3:B$3844,B1567,J$3:J$3844))</f>
        <v>0.88512000000000024</v>
      </c>
      <c r="E1567" s="47">
        <v>35419</v>
      </c>
      <c r="F1567" s="48" t="str">
        <f>"BONIFAY ELEMENTARY SCHOOL"</f>
        <v>BONIFAY ELEMENTARY SCHOOL</v>
      </c>
      <c r="G1567" s="47"/>
      <c r="H1567" s="47"/>
      <c r="I1567" s="40"/>
      <c r="J1567" s="40">
        <v>808</v>
      </c>
      <c r="K1567" s="20">
        <v>2015</v>
      </c>
      <c r="L1567" s="21">
        <v>0.55320000000000003</v>
      </c>
      <c r="M1567" s="110">
        <f>IF(L1567="",I1567,(MIN(J1567,(L1567*1.6*J1567))))</f>
        <v>715.17696000000012</v>
      </c>
      <c r="N1567" s="111">
        <f>IF(M1567=0,0,(M1567/J1567))</f>
        <v>0.88512000000000013</v>
      </c>
    </row>
    <row r="1568" spans="2:14">
      <c r="B1568" s="73">
        <v>127629</v>
      </c>
      <c r="C1568" s="23" t="str">
        <f>"HOLMES"</f>
        <v>HOLMES</v>
      </c>
      <c r="D1568" s="123">
        <f>SUMIF(B$3:B$3844,B1568,M$3:M$3844)/(SUMIF(B$3:B$3844,B1568,J$3:J$3844))</f>
        <v>0.88512000000000024</v>
      </c>
      <c r="E1568" s="23">
        <v>196613</v>
      </c>
      <c r="F1568" s="46" t="str">
        <f>"BONIFAY MIDDLE SCHOOL"</f>
        <v>BONIFAY MIDDLE SCHOOL</v>
      </c>
      <c r="G1568" s="23"/>
      <c r="H1568" s="23"/>
      <c r="I1568" s="41"/>
      <c r="J1568" s="41">
        <v>542</v>
      </c>
      <c r="K1568" s="20">
        <v>2015</v>
      </c>
      <c r="L1568" s="21">
        <v>0.55320000000000003</v>
      </c>
      <c r="M1568" s="110">
        <f>IF(L1568="",I1568,(MIN(J1568,(L1568*1.6*J1568))))</f>
        <v>479.73504000000008</v>
      </c>
      <c r="N1568" s="111">
        <f>IF(M1568=0,0,(M1568/J1568))</f>
        <v>0.88512000000000013</v>
      </c>
    </row>
    <row r="1569" spans="2:14">
      <c r="B1569" s="72">
        <v>127629</v>
      </c>
      <c r="C1569" s="47" t="str">
        <f>"HOLMES"</f>
        <v>HOLMES</v>
      </c>
      <c r="D1569" s="123">
        <f>SUMIF(B$3:B$3844,B1569,M$3:M$3844)/(SUMIF(B$3:B$3844,B1569,J$3:J$3844))</f>
        <v>0.88512000000000024</v>
      </c>
      <c r="E1569" s="47">
        <v>225115</v>
      </c>
      <c r="F1569" s="48" t="str">
        <f>"GRADUATION ASSISTANCE PROGRAM"</f>
        <v>GRADUATION ASSISTANCE PROGRAM</v>
      </c>
      <c r="G1569" s="47"/>
      <c r="H1569" s="47"/>
      <c r="I1569" s="40"/>
      <c r="J1569" s="40">
        <v>26</v>
      </c>
      <c r="K1569" s="20">
        <v>2015</v>
      </c>
      <c r="L1569" s="21">
        <v>0.55320000000000003</v>
      </c>
      <c r="M1569" s="110">
        <f>IF(L1569="",I1569,(MIN(J1569,(L1569*1.6*J1569))))</f>
        <v>23.013120000000004</v>
      </c>
      <c r="N1569" s="111">
        <f>IF(M1569=0,0,(M1569/J1569))</f>
        <v>0.88512000000000013</v>
      </c>
    </row>
    <row r="1570" spans="2:14">
      <c r="B1570" s="73">
        <v>127629</v>
      </c>
      <c r="C1570" s="23" t="str">
        <f>"HOLMES"</f>
        <v>HOLMES</v>
      </c>
      <c r="D1570" s="123">
        <f>SUMIF(B$3:B$3844,B1570,M$3:M$3844)/(SUMIF(B$3:B$3844,B1570,J$3:J$3844))</f>
        <v>0.88512000000000024</v>
      </c>
      <c r="E1570" s="23">
        <v>35421</v>
      </c>
      <c r="F1570" s="46" t="str">
        <f>"HOLMES COUNTY HIGH SCHOOL"</f>
        <v>HOLMES COUNTY HIGH SCHOOL</v>
      </c>
      <c r="G1570" s="23"/>
      <c r="H1570" s="23"/>
      <c r="I1570" s="41"/>
      <c r="J1570" s="41">
        <v>462</v>
      </c>
      <c r="K1570" s="20">
        <v>2015</v>
      </c>
      <c r="L1570" s="21">
        <v>0.55320000000000003</v>
      </c>
      <c r="M1570" s="110">
        <f>IF(L1570="",I1570,(MIN(J1570,(L1570*1.6*J1570))))</f>
        <v>408.92544000000004</v>
      </c>
      <c r="N1570" s="111">
        <f>IF(M1570=0,0,(M1570/J1570))</f>
        <v>0.88512000000000013</v>
      </c>
    </row>
    <row r="1571" spans="2:14">
      <c r="B1571" s="72">
        <v>127629</v>
      </c>
      <c r="C1571" s="47" t="str">
        <f>"HOLMES"</f>
        <v>HOLMES</v>
      </c>
      <c r="D1571" s="123">
        <f>SUMIF(B$3:B$3844,B1571,M$3:M$3844)/(SUMIF(B$3:B$3844,B1571,J$3:J$3844))</f>
        <v>0.88512000000000024</v>
      </c>
      <c r="E1571" s="47">
        <v>127629</v>
      </c>
      <c r="F1571" s="48" t="str">
        <f>"HOLMES DISTRICT OFFICE"</f>
        <v>HOLMES DISTRICT OFFICE</v>
      </c>
      <c r="G1571" s="47"/>
      <c r="H1571" s="47"/>
      <c r="I1571" s="40"/>
      <c r="J1571" s="40">
        <v>0</v>
      </c>
      <c r="K1571" s="20"/>
      <c r="L1571" s="21"/>
      <c r="M1571" s="110">
        <f>IF(L1571="",I1571,(MIN(J1571,(L1571*1.6*J1571))))</f>
        <v>0</v>
      </c>
      <c r="N1571" s="111">
        <f>IF(M1571=0,0,(M1571/J1571))</f>
        <v>0</v>
      </c>
    </row>
    <row r="1572" spans="2:14">
      <c r="B1572" s="73">
        <v>127629</v>
      </c>
      <c r="C1572" s="23" t="str">
        <f>"HOLMES"</f>
        <v>HOLMES</v>
      </c>
      <c r="D1572" s="123">
        <f>SUMIF(B$3:B$3844,B1572,M$3:M$3844)/(SUMIF(B$3:B$3844,B1572,J$3:J$3844))</f>
        <v>0.88512000000000024</v>
      </c>
      <c r="E1572" s="23">
        <v>35460</v>
      </c>
      <c r="F1572" s="46" t="s">
        <v>2136</v>
      </c>
      <c r="G1572" s="23"/>
      <c r="H1572" s="23"/>
      <c r="I1572" s="41"/>
      <c r="J1572" s="41">
        <v>304</v>
      </c>
      <c r="K1572" s="20">
        <v>2015</v>
      </c>
      <c r="L1572" s="21">
        <v>0.55320000000000003</v>
      </c>
      <c r="M1572" s="110">
        <f>IF(L1572="",I1572,(MIN(J1572,(L1572*1.6*J1572))))</f>
        <v>269.07648000000006</v>
      </c>
      <c r="N1572" s="111">
        <f>IF(M1572=0,0,(M1572/J1572))</f>
        <v>0.88512000000000024</v>
      </c>
    </row>
    <row r="1573" spans="2:14">
      <c r="B1573" s="72">
        <v>127629</v>
      </c>
      <c r="C1573" s="47" t="str">
        <f>"HOLMES"</f>
        <v>HOLMES</v>
      </c>
      <c r="D1573" s="123">
        <f>SUMIF(B$3:B$3844,B1573,M$3:M$3844)/(SUMIF(B$3:B$3844,B1573,J$3:J$3844))</f>
        <v>0.88512000000000024</v>
      </c>
      <c r="E1573" s="47">
        <v>35459</v>
      </c>
      <c r="F1573" s="48" t="str">
        <f>"PONCE DE LEON HIGH SCHOOL"</f>
        <v>PONCE DE LEON HIGH SCHOOL</v>
      </c>
      <c r="G1573" s="47"/>
      <c r="H1573" s="47"/>
      <c r="I1573" s="40"/>
      <c r="J1573" s="40">
        <v>292</v>
      </c>
      <c r="K1573" s="20">
        <v>2015</v>
      </c>
      <c r="L1573" s="21">
        <v>0.55320000000000003</v>
      </c>
      <c r="M1573" s="110">
        <f>IF(L1573="",I1573,(MIN(J1573,(L1573*1.6*J1573))))</f>
        <v>258.45504000000005</v>
      </c>
      <c r="N1573" s="111">
        <f>IF(M1573=0,0,(M1573/J1573))</f>
        <v>0.88512000000000013</v>
      </c>
    </row>
    <row r="1574" spans="2:14">
      <c r="B1574" s="73">
        <v>127629</v>
      </c>
      <c r="C1574" s="23" t="str">
        <f>"HOLMES"</f>
        <v>HOLMES</v>
      </c>
      <c r="D1574" s="123">
        <f>SUMIF(B$3:B$3844,B1574,M$3:M$3844)/(SUMIF(B$3:B$3844,B1574,J$3:J$3844))</f>
        <v>0.88512000000000024</v>
      </c>
      <c r="E1574" s="23">
        <v>35442</v>
      </c>
      <c r="F1574" s="46" t="s">
        <v>2137</v>
      </c>
      <c r="G1574" s="23"/>
      <c r="H1574" s="23"/>
      <c r="I1574" s="41"/>
      <c r="J1574" s="41">
        <v>383</v>
      </c>
      <c r="K1574" s="20">
        <v>2015</v>
      </c>
      <c r="L1574" s="21">
        <v>0.55320000000000003</v>
      </c>
      <c r="M1574" s="110">
        <f>IF(L1574="",I1574,(MIN(J1574,(L1574*1.6*J1574))))</f>
        <v>339.00096000000008</v>
      </c>
      <c r="N1574" s="111">
        <f>IF(M1574=0,0,(M1574/J1574))</f>
        <v>0.88512000000000024</v>
      </c>
    </row>
    <row r="1575" spans="2:14" ht="30">
      <c r="B1575" s="120">
        <v>127706</v>
      </c>
      <c r="C1575" s="131" t="s">
        <v>2476</v>
      </c>
      <c r="D1575" s="109">
        <v>0.6421</v>
      </c>
      <c r="E1575" s="122">
        <v>36268</v>
      </c>
      <c r="F1575" s="115" t="s">
        <v>2454</v>
      </c>
      <c r="G1575" s="117"/>
      <c r="H1575" s="117" t="s">
        <v>2475</v>
      </c>
      <c r="I1575" s="40">
        <v>1533</v>
      </c>
      <c r="J1575" s="40">
        <v>3026</v>
      </c>
      <c r="K1575" s="118"/>
      <c r="L1575" s="119"/>
      <c r="M1575" s="110">
        <f>IF(L1575="",I1575,(MIN(J1575,(L1575*1.6*J1575))))</f>
        <v>1533</v>
      </c>
      <c r="N1575" s="111">
        <f>IF(M1575=0,0,(M1575/J1575))</f>
        <v>0.5066093853271646</v>
      </c>
    </row>
    <row r="1576" spans="2:14">
      <c r="B1576" s="120">
        <v>127706</v>
      </c>
      <c r="C1576" s="131" t="s">
        <v>2476</v>
      </c>
      <c r="D1576" s="109">
        <f>SUMIF(B$3:B$3844,B1576,M$3:M$3844)/(SUMIF(B$3:B$3844,B1576,J$3:J$3844))</f>
        <v>0.64214747426382568</v>
      </c>
      <c r="E1576" s="122">
        <v>36280</v>
      </c>
      <c r="F1576" s="115" t="s">
        <v>2455</v>
      </c>
      <c r="G1576" s="117"/>
      <c r="H1576" s="117"/>
      <c r="I1576" s="40">
        <v>46</v>
      </c>
      <c r="J1576" s="40">
        <v>50</v>
      </c>
      <c r="K1576" s="118"/>
      <c r="L1576" s="119"/>
      <c r="M1576" s="110">
        <f>IF(L1576="",I1576,(MIN(J1576,(L1576*1.6*J1576))))</f>
        <v>46</v>
      </c>
      <c r="N1576" s="111">
        <f>IF(M1576=0,0,(M1576/J1576))</f>
        <v>0.92</v>
      </c>
    </row>
    <row r="1577" spans="2:14">
      <c r="B1577" s="120">
        <v>127706</v>
      </c>
      <c r="C1577" s="131" t="s">
        <v>2476</v>
      </c>
      <c r="D1577" s="109">
        <f>SUMIF(B$3:B$3844,B1577,M$3:M$3844)/(SUMIF(B$3:B$3844,B1577,J$3:J$3844))</f>
        <v>0.64214747426382568</v>
      </c>
      <c r="E1577" s="122">
        <v>36266</v>
      </c>
      <c r="F1577" s="115" t="s">
        <v>2456</v>
      </c>
      <c r="G1577" s="117"/>
      <c r="H1577" s="117"/>
      <c r="I1577" s="40">
        <v>237</v>
      </c>
      <c r="J1577" s="40">
        <v>555</v>
      </c>
      <c r="K1577" s="118"/>
      <c r="L1577" s="119"/>
      <c r="M1577" s="110">
        <f>IF(L1577="",I1577,(MIN(J1577,(L1577*1.6*J1577))))</f>
        <v>237</v>
      </c>
      <c r="N1577" s="111">
        <f>IF(M1577=0,0,(M1577/J1577))</f>
        <v>0.42702702702702705</v>
      </c>
    </row>
    <row r="1578" spans="2:14">
      <c r="B1578" s="120">
        <v>127706</v>
      </c>
      <c r="C1578" s="131" t="s">
        <v>2476</v>
      </c>
      <c r="D1578" s="109">
        <f>SUMIF(B$3:B$3844,B1578,M$3:M$3844)/(SUMIF(B$3:B$3844,B1578,J$3:J$3844))</f>
        <v>0.64214747426382568</v>
      </c>
      <c r="E1578" s="122">
        <v>36271</v>
      </c>
      <c r="F1578" s="115" t="s">
        <v>2457</v>
      </c>
      <c r="G1578" s="117"/>
      <c r="H1578" s="117"/>
      <c r="I1578" s="40">
        <v>238</v>
      </c>
      <c r="J1578" s="40">
        <v>546</v>
      </c>
      <c r="K1578" s="118"/>
      <c r="L1578" s="119"/>
      <c r="M1578" s="110">
        <f>IF(L1578="",I1578,(MIN(J1578,(L1578*1.6*J1578))))</f>
        <v>238</v>
      </c>
      <c r="N1578" s="111">
        <f>IF(M1578=0,0,(M1578/J1578))</f>
        <v>0.4358974358974359</v>
      </c>
    </row>
    <row r="1579" spans="2:14">
      <c r="B1579" s="120">
        <v>127706</v>
      </c>
      <c r="C1579" s="131" t="s">
        <v>2476</v>
      </c>
      <c r="D1579" s="109">
        <f>SUMIF(B$3:B$3844,B1579,M$3:M$3844)/(SUMIF(B$3:B$3844,B1579,J$3:J$3844))</f>
        <v>0.64214747426382568</v>
      </c>
      <c r="E1579" s="122">
        <v>36276</v>
      </c>
      <c r="F1579" s="115" t="s">
        <v>2458</v>
      </c>
      <c r="G1579" s="117"/>
      <c r="H1579" s="117"/>
      <c r="I1579" s="40">
        <v>250</v>
      </c>
      <c r="J1579" s="40">
        <v>496</v>
      </c>
      <c r="K1579" s="118"/>
      <c r="L1579" s="119"/>
      <c r="M1579" s="110">
        <f>IF(L1579="",I1579,(MIN(J1579,(L1579*1.6*J1579))))</f>
        <v>250</v>
      </c>
      <c r="N1579" s="111">
        <f>IF(M1579=0,0,(M1579/J1579))</f>
        <v>0.50403225806451613</v>
      </c>
    </row>
    <row r="1580" spans="2:14">
      <c r="B1580" s="120">
        <v>127706</v>
      </c>
      <c r="C1580" s="131" t="s">
        <v>2476</v>
      </c>
      <c r="D1580" s="109">
        <f>SUMIF(B$3:B$3844,B1580,M$3:M$3844)/(SUMIF(B$3:B$3844,B1580,J$3:J$3844))</f>
        <v>0.64214747426382568</v>
      </c>
      <c r="E1580" s="122">
        <v>36279</v>
      </c>
      <c r="F1580" s="115" t="s">
        <v>2459</v>
      </c>
      <c r="G1580" s="117"/>
      <c r="H1580" s="117"/>
      <c r="I1580" s="40">
        <v>492</v>
      </c>
      <c r="J1580" s="40">
        <v>885</v>
      </c>
      <c r="K1580" s="118"/>
      <c r="L1580" s="119"/>
      <c r="M1580" s="110">
        <f>IF(L1580="",I1580,(MIN(J1580,(L1580*1.6*J1580))))</f>
        <v>492</v>
      </c>
      <c r="N1580" s="111">
        <f>IF(M1580=0,0,(M1580/J1580))</f>
        <v>0.55593220338983051</v>
      </c>
    </row>
    <row r="1581" spans="2:14">
      <c r="B1581" s="120">
        <v>127706</v>
      </c>
      <c r="C1581" s="131" t="s">
        <v>2476</v>
      </c>
      <c r="D1581" s="109">
        <f>SUMIF(B$3:B$3844,B1581,M$3:M$3844)/(SUMIF(B$3:B$3844,B1581,J$3:J$3844))</f>
        <v>0.64214747426382568</v>
      </c>
      <c r="E1581" s="122">
        <v>36237</v>
      </c>
      <c r="F1581" s="115" t="s">
        <v>2460</v>
      </c>
      <c r="G1581" s="117"/>
      <c r="H1581" s="117"/>
      <c r="I1581" s="40">
        <v>557</v>
      </c>
      <c r="J1581" s="40">
        <v>699</v>
      </c>
      <c r="K1581" s="118"/>
      <c r="L1581" s="119"/>
      <c r="M1581" s="110">
        <f>IF(L1581="",I1581,(MIN(J1581,(L1581*1.6*J1581))))</f>
        <v>557</v>
      </c>
      <c r="N1581" s="111">
        <f>IF(M1581=0,0,(M1581/J1581))</f>
        <v>0.79685264663805433</v>
      </c>
    </row>
    <row r="1582" spans="2:14">
      <c r="B1582" s="120">
        <v>127706</v>
      </c>
      <c r="C1582" s="131" t="s">
        <v>2476</v>
      </c>
      <c r="D1582" s="109">
        <f>SUMIF(B$3:B$3844,B1582,M$3:M$3844)/(SUMIF(B$3:B$3844,B1582,J$3:J$3844))</f>
        <v>0.64214747426382568</v>
      </c>
      <c r="E1582" s="122">
        <v>36262</v>
      </c>
      <c r="F1582" s="115" t="s">
        <v>2461</v>
      </c>
      <c r="G1582" s="117"/>
      <c r="H1582" s="117"/>
      <c r="I1582" s="40">
        <v>351</v>
      </c>
      <c r="J1582" s="40">
        <v>443</v>
      </c>
      <c r="K1582" s="118"/>
      <c r="L1582" s="119"/>
      <c r="M1582" s="110">
        <f>IF(L1582="",I1582,(MIN(J1582,(L1582*1.6*J1582))))</f>
        <v>351</v>
      </c>
      <c r="N1582" s="111">
        <f>IF(M1582=0,0,(M1582/J1582))</f>
        <v>0.79232505643340856</v>
      </c>
    </row>
    <row r="1583" spans="2:14">
      <c r="B1583" s="120">
        <v>127706</v>
      </c>
      <c r="C1583" s="131" t="s">
        <v>2476</v>
      </c>
      <c r="D1583" s="109">
        <f>SUMIF(B$3:B$3844,B1583,M$3:M$3844)/(SUMIF(B$3:B$3844,B1583,J$3:J$3844))</f>
        <v>0.64214747426382568</v>
      </c>
      <c r="E1583" s="122">
        <v>36284</v>
      </c>
      <c r="F1583" s="115" t="s">
        <v>2462</v>
      </c>
      <c r="G1583" s="117"/>
      <c r="H1583" s="117"/>
      <c r="I1583" s="40">
        <v>86</v>
      </c>
      <c r="J1583" s="40">
        <v>143</v>
      </c>
      <c r="K1583" s="118"/>
      <c r="L1583" s="119"/>
      <c r="M1583" s="110">
        <f>IF(L1583="",I1583,(MIN(J1583,(L1583*1.6*J1583))))</f>
        <v>86</v>
      </c>
      <c r="N1583" s="111">
        <f>IF(M1583=0,0,(M1583/J1583))</f>
        <v>0.60139860139860135</v>
      </c>
    </row>
    <row r="1584" spans="2:14">
      <c r="B1584" s="120">
        <v>127706</v>
      </c>
      <c r="C1584" s="131" t="s">
        <v>2476</v>
      </c>
      <c r="D1584" s="109">
        <f>SUMIF(B$3:B$3844,B1584,M$3:M$3844)/(SUMIF(B$3:B$3844,B1584,J$3:J$3844))</f>
        <v>0.64214747426382568</v>
      </c>
      <c r="E1584" s="122">
        <v>36283</v>
      </c>
      <c r="F1584" s="115" t="s">
        <v>2463</v>
      </c>
      <c r="G1584" s="117"/>
      <c r="H1584" s="117"/>
      <c r="I1584" s="40">
        <v>642</v>
      </c>
      <c r="J1584" s="40">
        <v>789</v>
      </c>
      <c r="K1584" s="118"/>
      <c r="L1584" s="119"/>
      <c r="M1584" s="110">
        <f>IF(L1584="",I1584,(MIN(J1584,(L1584*1.6*J1584))))</f>
        <v>642</v>
      </c>
      <c r="N1584" s="111">
        <f>IF(M1584=0,0,(M1584/J1584))</f>
        <v>0.81368821292775662</v>
      </c>
    </row>
    <row r="1585" spans="2:14">
      <c r="B1585" s="120">
        <v>127706</v>
      </c>
      <c r="C1585" s="131" t="s">
        <v>2476</v>
      </c>
      <c r="D1585" s="109">
        <f>SUMIF(B$3:B$3844,B1585,M$3:M$3844)/(SUMIF(B$3:B$3844,B1585,J$3:J$3844))</f>
        <v>0.64214747426382568</v>
      </c>
      <c r="E1585" s="122">
        <v>36278</v>
      </c>
      <c r="F1585" s="115" t="s">
        <v>2464</v>
      </c>
      <c r="G1585" s="117"/>
      <c r="H1585" s="117"/>
      <c r="I1585" s="40">
        <v>463</v>
      </c>
      <c r="J1585" s="40">
        <v>548</v>
      </c>
      <c r="K1585" s="118"/>
      <c r="L1585" s="119"/>
      <c r="M1585" s="110">
        <f>IF(L1585="",I1585,(MIN(J1585,(L1585*1.6*J1585))))</f>
        <v>463</v>
      </c>
      <c r="N1585" s="111">
        <f>IF(M1585=0,0,(M1585/J1585))</f>
        <v>0.8448905109489051</v>
      </c>
    </row>
    <row r="1586" spans="2:14">
      <c r="B1586" s="120">
        <v>127706</v>
      </c>
      <c r="C1586" s="131" t="s">
        <v>2476</v>
      </c>
      <c r="D1586" s="109">
        <f>SUMIF(B$3:B$3844,B1586,M$3:M$3844)/(SUMIF(B$3:B$3844,B1586,J$3:J$3844))</f>
        <v>0.64214747426382568</v>
      </c>
      <c r="E1586" s="122">
        <v>36269</v>
      </c>
      <c r="F1586" s="115" t="s">
        <v>2465</v>
      </c>
      <c r="G1586" s="117"/>
      <c r="H1586" s="117"/>
      <c r="I1586" s="40">
        <v>671</v>
      </c>
      <c r="J1586" s="40">
        <v>764</v>
      </c>
      <c r="K1586" s="118"/>
      <c r="L1586" s="119"/>
      <c r="M1586" s="110">
        <f>IF(L1586="",I1586,(MIN(J1586,(L1586*1.6*J1586))))</f>
        <v>671</v>
      </c>
      <c r="N1586" s="111">
        <f>IF(M1586=0,0,(M1586/J1586))</f>
        <v>0.87827225130890052</v>
      </c>
    </row>
    <row r="1587" spans="2:14">
      <c r="B1587" s="120">
        <v>127706</v>
      </c>
      <c r="C1587" s="131" t="s">
        <v>2476</v>
      </c>
      <c r="D1587" s="109">
        <f>SUMIF(B$3:B$3844,B1587,M$3:M$3844)/(SUMIF(B$3:B$3844,B1587,J$3:J$3844))</f>
        <v>0.64214747426382568</v>
      </c>
      <c r="E1587" s="122">
        <v>36261</v>
      </c>
      <c r="F1587" s="115" t="s">
        <v>2466</v>
      </c>
      <c r="G1587" s="117"/>
      <c r="H1587" s="117"/>
      <c r="I1587" s="40">
        <v>712</v>
      </c>
      <c r="J1587" s="40">
        <v>1000</v>
      </c>
      <c r="K1587" s="118"/>
      <c r="L1587" s="119"/>
      <c r="M1587" s="110">
        <f>IF(L1587="",I1587,(MIN(J1587,(L1587*1.6*J1587))))</f>
        <v>712</v>
      </c>
      <c r="N1587" s="111">
        <f>IF(M1587=0,0,(M1587/J1587))</f>
        <v>0.71199999999999997</v>
      </c>
    </row>
    <row r="1588" spans="2:14">
      <c r="B1588" s="120">
        <v>127706</v>
      </c>
      <c r="C1588" s="131" t="s">
        <v>2476</v>
      </c>
      <c r="D1588" s="109">
        <f>SUMIF(B$3:B$3844,B1588,M$3:M$3844)/(SUMIF(B$3:B$3844,B1588,J$3:J$3844))</f>
        <v>0.64214747426382568</v>
      </c>
      <c r="E1588" s="122">
        <v>36260</v>
      </c>
      <c r="F1588" s="115" t="s">
        <v>2467</v>
      </c>
      <c r="G1588" s="117"/>
      <c r="H1588" s="117"/>
      <c r="I1588" s="40">
        <v>411</v>
      </c>
      <c r="J1588" s="40">
        <v>537</v>
      </c>
      <c r="K1588" s="118"/>
      <c r="L1588" s="119"/>
      <c r="M1588" s="110">
        <f>IF(L1588="",I1588,(MIN(J1588,(L1588*1.6*J1588))))</f>
        <v>411</v>
      </c>
      <c r="N1588" s="111">
        <f>IF(M1588=0,0,(M1588/J1588))</f>
        <v>0.76536312849162014</v>
      </c>
    </row>
    <row r="1589" spans="2:14">
      <c r="B1589" s="120">
        <v>127706</v>
      </c>
      <c r="C1589" s="131" t="s">
        <v>2476</v>
      </c>
      <c r="D1589" s="109">
        <f>SUMIF(B$3:B$3844,B1589,M$3:M$3844)/(SUMIF(B$3:B$3844,B1589,J$3:J$3844))</f>
        <v>0.64214747426382568</v>
      </c>
      <c r="E1589" s="122">
        <v>36281</v>
      </c>
      <c r="F1589" s="115" t="s">
        <v>2468</v>
      </c>
      <c r="G1589" s="117"/>
      <c r="H1589" s="117"/>
      <c r="I1589" s="40">
        <v>488</v>
      </c>
      <c r="J1589" s="40">
        <v>613</v>
      </c>
      <c r="K1589" s="118"/>
      <c r="L1589" s="119"/>
      <c r="M1589" s="110">
        <f>IF(L1589="",I1589,(MIN(J1589,(L1589*1.6*J1589))))</f>
        <v>488</v>
      </c>
      <c r="N1589" s="111">
        <f>IF(M1589=0,0,(M1589/J1589))</f>
        <v>0.79608482871125608</v>
      </c>
    </row>
    <row r="1590" spans="2:14">
      <c r="B1590" s="120">
        <v>127706</v>
      </c>
      <c r="C1590" s="131" t="s">
        <v>2476</v>
      </c>
      <c r="D1590" s="109">
        <f>SUMIF(B$3:B$3844,B1590,M$3:M$3844)/(SUMIF(B$3:B$3844,B1590,J$3:J$3844))</f>
        <v>0.64214747426382568</v>
      </c>
      <c r="E1590" s="122">
        <v>36275</v>
      </c>
      <c r="F1590" s="115" t="s">
        <v>2469</v>
      </c>
      <c r="G1590" s="117"/>
      <c r="H1590" s="117"/>
      <c r="I1590" s="40">
        <v>503</v>
      </c>
      <c r="J1590" s="40">
        <v>573</v>
      </c>
      <c r="K1590" s="118"/>
      <c r="L1590" s="119"/>
      <c r="M1590" s="110">
        <f>IF(L1590="",I1590,(MIN(J1590,(L1590*1.6*J1590))))</f>
        <v>503</v>
      </c>
      <c r="N1590" s="111">
        <f>IF(M1590=0,0,(M1590/J1590))</f>
        <v>0.8778359511343804</v>
      </c>
    </row>
    <row r="1591" spans="2:14">
      <c r="B1591" s="120">
        <v>127706</v>
      </c>
      <c r="C1591" s="131" t="s">
        <v>2476</v>
      </c>
      <c r="D1591" s="109">
        <f>SUMIF(B$3:B$3844,B1591,M$3:M$3844)/(SUMIF(B$3:B$3844,B1591,J$3:J$3844))</f>
        <v>0.64214747426382568</v>
      </c>
      <c r="E1591" s="122">
        <v>36272</v>
      </c>
      <c r="F1591" s="115" t="s">
        <v>2470</v>
      </c>
      <c r="G1591" s="117"/>
      <c r="H1591" s="117"/>
      <c r="I1591" s="40">
        <v>666</v>
      </c>
      <c r="J1591" s="40">
        <v>910</v>
      </c>
      <c r="K1591" s="118"/>
      <c r="L1591" s="119"/>
      <c r="M1591" s="110">
        <f>IF(L1591="",I1591,(MIN(J1591,(L1591*1.6*J1591))))</f>
        <v>666</v>
      </c>
      <c r="N1591" s="111">
        <f>IF(M1591=0,0,(M1591/J1591))</f>
        <v>0.73186813186813182</v>
      </c>
    </row>
    <row r="1592" spans="2:14">
      <c r="B1592" s="120">
        <v>127706</v>
      </c>
      <c r="C1592" s="131" t="s">
        <v>2476</v>
      </c>
      <c r="D1592" s="109">
        <f>SUMIF(B$3:B$3844,B1592,M$3:M$3844)/(SUMIF(B$3:B$3844,B1592,J$3:J$3844))</f>
        <v>0.64214747426382568</v>
      </c>
      <c r="E1592" s="122">
        <v>36263</v>
      </c>
      <c r="F1592" s="115" t="s">
        <v>2471</v>
      </c>
      <c r="G1592" s="117"/>
      <c r="H1592" s="117"/>
      <c r="I1592" s="40">
        <v>1137</v>
      </c>
      <c r="J1592" s="40">
        <v>1919</v>
      </c>
      <c r="K1592" s="118"/>
      <c r="L1592" s="119"/>
      <c r="M1592" s="110">
        <f>IF(L1592="",I1592,(MIN(J1592,(L1592*1.6*J1592))))</f>
        <v>1137</v>
      </c>
      <c r="N1592" s="111">
        <f>IF(M1592=0,0,(M1592/J1592))</f>
        <v>0.59249609171443463</v>
      </c>
    </row>
    <row r="1593" spans="2:14">
      <c r="B1593" s="120">
        <v>127706</v>
      </c>
      <c r="C1593" s="131" t="s">
        <v>2476</v>
      </c>
      <c r="D1593" s="109">
        <f>SUMIF(B$3:B$3844,B1593,M$3:M$3844)/(SUMIF(B$3:B$3844,B1593,J$3:J$3844))</f>
        <v>0.64214747426382568</v>
      </c>
      <c r="E1593" s="122">
        <v>234906</v>
      </c>
      <c r="F1593" s="115" t="s">
        <v>2472</v>
      </c>
      <c r="G1593" s="117"/>
      <c r="H1593" s="117"/>
      <c r="I1593" s="40">
        <v>240</v>
      </c>
      <c r="J1593" s="40">
        <v>551</v>
      </c>
      <c r="K1593" s="118"/>
      <c r="L1593" s="119"/>
      <c r="M1593" s="110">
        <f>IF(L1593="",I1593,(MIN(J1593,(L1593*1.6*J1593))))</f>
        <v>240</v>
      </c>
      <c r="N1593" s="111">
        <f>IF(M1593=0,0,(M1593/J1593))</f>
        <v>0.43557168784029038</v>
      </c>
    </row>
    <row r="1594" spans="2:14">
      <c r="B1594" s="120">
        <v>127706</v>
      </c>
      <c r="C1594" s="131" t="s">
        <v>2476</v>
      </c>
      <c r="D1594" s="109">
        <f>SUMIF(B$3:B$3844,B1594,M$3:M$3844)/(SUMIF(B$3:B$3844,B1594,J$3:J$3844))</f>
        <v>0.64214747426382568</v>
      </c>
      <c r="E1594" s="122">
        <v>16044551</v>
      </c>
      <c r="F1594" s="115" t="s">
        <v>2473</v>
      </c>
      <c r="G1594" s="117"/>
      <c r="H1594" s="117"/>
      <c r="I1594" s="40">
        <v>483</v>
      </c>
      <c r="J1594" s="40">
        <v>689</v>
      </c>
      <c r="K1594" s="118"/>
      <c r="L1594" s="119"/>
      <c r="M1594" s="110">
        <f>IF(L1594="",I1594,(MIN(J1594,(L1594*1.6*J1594))))</f>
        <v>483</v>
      </c>
      <c r="N1594" s="111">
        <f>IF(M1594=0,0,(M1594/J1594))</f>
        <v>0.70101596516690856</v>
      </c>
    </row>
    <row r="1595" spans="2:14">
      <c r="B1595" s="120">
        <v>127706</v>
      </c>
      <c r="C1595" s="131" t="s">
        <v>2476</v>
      </c>
      <c r="D1595" s="109">
        <f>SUMIF(B$3:B$3844,B1595,M$3:M$3844)/(SUMIF(B$3:B$3844,B1595,J$3:J$3844))</f>
        <v>0.64214747426382568</v>
      </c>
      <c r="E1595" s="122">
        <v>16056993</v>
      </c>
      <c r="F1595" s="115" t="s">
        <v>2474</v>
      </c>
      <c r="G1595" s="117"/>
      <c r="H1595" s="117"/>
      <c r="I1595" s="40">
        <v>523</v>
      </c>
      <c r="J1595" s="40">
        <v>972</v>
      </c>
      <c r="K1595" s="118"/>
      <c r="L1595" s="119"/>
      <c r="M1595" s="110">
        <f>IF(L1595="",I1595,(MIN(J1595,(L1595*1.6*J1595))))</f>
        <v>523</v>
      </c>
      <c r="N1595" s="111">
        <f>IF(M1595=0,0,(M1595/J1595))</f>
        <v>0.5380658436213992</v>
      </c>
    </row>
    <row r="1596" spans="2:14">
      <c r="B1596" s="73">
        <v>127637</v>
      </c>
      <c r="C1596" s="23" t="s">
        <v>2055</v>
      </c>
      <c r="D1596" s="123">
        <f>SUMIF(B$3:B$3844,B1596,M$3:M$3844)/(SUMIF(B$3:B$3844,B1596,J$3:J$3844))</f>
        <v>0.69944314185228607</v>
      </c>
      <c r="E1596" s="23">
        <v>35428</v>
      </c>
      <c r="F1596" s="46" t="s">
        <v>2056</v>
      </c>
      <c r="G1596" s="23"/>
      <c r="H1596" s="23"/>
      <c r="I1596" s="41">
        <v>367</v>
      </c>
      <c r="J1596" s="41">
        <v>440</v>
      </c>
      <c r="K1596" s="118"/>
      <c r="L1596" s="119"/>
      <c r="M1596" s="110">
        <f>IF(L1596="",I1596,(MIN(J1596,(L1596*1.6*J1596))))</f>
        <v>367</v>
      </c>
      <c r="N1596" s="111">
        <f>IF(M1596=0,0,(M1596/J1596))</f>
        <v>0.83409090909090911</v>
      </c>
    </row>
    <row r="1597" spans="2:14">
      <c r="B1597" s="72">
        <v>127637</v>
      </c>
      <c r="C1597" s="47" t="s">
        <v>2055</v>
      </c>
      <c r="D1597" s="123">
        <f>SUMIF(B$3:B$3844,B1597,M$3:M$3844)/(SUMIF(B$3:B$3844,B1597,J$3:J$3844))</f>
        <v>0.69944314185228607</v>
      </c>
      <c r="E1597" s="47">
        <v>35429</v>
      </c>
      <c r="F1597" s="48" t="s">
        <v>2057</v>
      </c>
      <c r="G1597" s="47"/>
      <c r="H1597" s="47"/>
      <c r="I1597" s="40">
        <v>320</v>
      </c>
      <c r="J1597" s="40">
        <v>459</v>
      </c>
      <c r="K1597" s="118"/>
      <c r="L1597" s="119"/>
      <c r="M1597" s="110">
        <f>IF(L1597="",I1597,(MIN(J1597,(L1597*1.6*J1597))))</f>
        <v>320</v>
      </c>
      <c r="N1597" s="111">
        <f>IF(M1597=0,0,(M1597/J1597))</f>
        <v>0.69716775599128544</v>
      </c>
    </row>
    <row r="1598" spans="2:14">
      <c r="B1598" s="73">
        <v>127637</v>
      </c>
      <c r="C1598" s="23" t="s">
        <v>2055</v>
      </c>
      <c r="D1598" s="123">
        <f>SUMIF(B$3:B$3844,B1598,M$3:M$3844)/(SUMIF(B$3:B$3844,B1598,J$3:J$3844))</f>
        <v>0.69944314185228607</v>
      </c>
      <c r="E1598" s="23">
        <v>35456</v>
      </c>
      <c r="F1598" s="46" t="s">
        <v>2058</v>
      </c>
      <c r="G1598" s="23"/>
      <c r="H1598" s="23"/>
      <c r="I1598" s="41"/>
      <c r="J1598" s="41" t="s">
        <v>798</v>
      </c>
      <c r="K1598" s="118"/>
      <c r="L1598" s="119"/>
      <c r="M1598" s="110">
        <f>IF(L1598="",I1598,(MIN(J1598,(L1598*1.6*J1598))))</f>
        <v>0</v>
      </c>
      <c r="N1598" s="111">
        <f>IF(M1598=0,0,(M1598/J1598))</f>
        <v>0</v>
      </c>
    </row>
    <row r="1599" spans="2:14">
      <c r="B1599" s="72">
        <v>127637</v>
      </c>
      <c r="C1599" s="47" t="s">
        <v>2055</v>
      </c>
      <c r="D1599" s="123">
        <f>SUMIF(B$3:B$3844,B1599,M$3:M$3844)/(SUMIF(B$3:B$3844,B1599,J$3:J$3844))</f>
        <v>0.69944314185228607</v>
      </c>
      <c r="E1599" s="47">
        <v>35448</v>
      </c>
      <c r="F1599" s="48" t="s">
        <v>2059</v>
      </c>
      <c r="G1599" s="47"/>
      <c r="H1599" s="47"/>
      <c r="I1599" s="40">
        <v>582</v>
      </c>
      <c r="J1599" s="40">
        <v>773</v>
      </c>
      <c r="K1599" s="118"/>
      <c r="L1599" s="119"/>
      <c r="M1599" s="110">
        <f>IF(L1599="",I1599,(MIN(J1599,(L1599*1.6*J1599))))</f>
        <v>582</v>
      </c>
      <c r="N1599" s="111">
        <f>IF(M1599=0,0,(M1599/J1599))</f>
        <v>0.7529107373868047</v>
      </c>
    </row>
    <row r="1600" spans="2:14">
      <c r="B1600" s="73">
        <v>127637</v>
      </c>
      <c r="C1600" s="23" t="s">
        <v>2055</v>
      </c>
      <c r="D1600" s="123">
        <f>SUMIF(B$3:B$3844,B1600,M$3:M$3844)/(SUMIF(B$3:B$3844,B1600,J$3:J$3844))</f>
        <v>0.69944314185228607</v>
      </c>
      <c r="E1600" s="23">
        <v>35441</v>
      </c>
      <c r="F1600" s="46" t="s">
        <v>2060</v>
      </c>
      <c r="G1600" s="23"/>
      <c r="H1600" s="23"/>
      <c r="I1600" s="41">
        <v>283</v>
      </c>
      <c r="J1600" s="41">
        <v>334</v>
      </c>
      <c r="K1600" s="118"/>
      <c r="L1600" s="119"/>
      <c r="M1600" s="110">
        <f>IF(L1600="",I1600,(MIN(J1600,(L1600*1.6*J1600))))</f>
        <v>283</v>
      </c>
      <c r="N1600" s="111">
        <f>IF(M1600=0,0,(M1600/J1600))</f>
        <v>0.84730538922155685</v>
      </c>
    </row>
    <row r="1601" spans="2:14">
      <c r="B1601" s="72">
        <v>127637</v>
      </c>
      <c r="C1601" s="47" t="s">
        <v>2055</v>
      </c>
      <c r="D1601" s="123">
        <f>SUMIF(B$3:B$3844,B1601,M$3:M$3844)/(SUMIF(B$3:B$3844,B1601,J$3:J$3844))</f>
        <v>0.69944314185228607</v>
      </c>
      <c r="E1601" s="47">
        <v>35440</v>
      </c>
      <c r="F1601" s="48" t="s">
        <v>2061</v>
      </c>
      <c r="G1601" s="47"/>
      <c r="H1601" s="47"/>
      <c r="I1601" s="40">
        <v>251</v>
      </c>
      <c r="J1601" s="40">
        <v>325</v>
      </c>
      <c r="K1601" s="118"/>
      <c r="L1601" s="119"/>
      <c r="M1601" s="110">
        <f>IF(L1601="",I1601,(MIN(J1601,(L1601*1.6*J1601))))</f>
        <v>251</v>
      </c>
      <c r="N1601" s="111">
        <f>IF(M1601=0,0,(M1601/J1601))</f>
        <v>0.77230769230769236</v>
      </c>
    </row>
    <row r="1602" spans="2:14">
      <c r="B1602" s="73">
        <v>127637</v>
      </c>
      <c r="C1602" s="23" t="s">
        <v>2055</v>
      </c>
      <c r="D1602" s="123">
        <f>SUMIF(B$3:B$3844,B1602,M$3:M$3844)/(SUMIF(B$3:B$3844,B1602,J$3:J$3844))</f>
        <v>0.69944314185228607</v>
      </c>
      <c r="E1602" s="23">
        <v>35443</v>
      </c>
      <c r="F1602" s="46" t="s">
        <v>2062</v>
      </c>
      <c r="G1602" s="23"/>
      <c r="H1602" s="23"/>
      <c r="I1602" s="41">
        <v>476</v>
      </c>
      <c r="J1602" s="41">
        <v>628</v>
      </c>
      <c r="K1602" s="118"/>
      <c r="L1602" s="119"/>
      <c r="M1602" s="110">
        <f>IF(L1602="",I1602,(MIN(J1602,(L1602*1.6*J1602))))</f>
        <v>476</v>
      </c>
      <c r="N1602" s="111">
        <f>IF(M1602=0,0,(M1602/J1602))</f>
        <v>0.7579617834394905</v>
      </c>
    </row>
    <row r="1603" spans="2:14">
      <c r="B1603" s="72">
        <v>127637</v>
      </c>
      <c r="C1603" s="47" t="s">
        <v>2055</v>
      </c>
      <c r="D1603" s="123">
        <f>SUMIF(B$3:B$3844,B1603,M$3:M$3844)/(SUMIF(B$3:B$3844,B1603,J$3:J$3844))</f>
        <v>0.69944314185228607</v>
      </c>
      <c r="E1603" s="47">
        <v>35457</v>
      </c>
      <c r="F1603" s="48" t="s">
        <v>2063</v>
      </c>
      <c r="G1603" s="47"/>
      <c r="H1603" s="47"/>
      <c r="I1603" s="40">
        <v>116</v>
      </c>
      <c r="J1603" s="40">
        <v>148</v>
      </c>
      <c r="K1603" s="118"/>
      <c r="L1603" s="119"/>
      <c r="M1603" s="110">
        <f>IF(L1603="",I1603,(MIN(J1603,(L1603*1.6*J1603))))</f>
        <v>116</v>
      </c>
      <c r="N1603" s="111">
        <f>IF(M1603=0,0,(M1603/J1603))</f>
        <v>0.78378378378378377</v>
      </c>
    </row>
    <row r="1604" spans="2:14">
      <c r="B1604" s="73">
        <v>127637</v>
      </c>
      <c r="C1604" s="23" t="s">
        <v>2055</v>
      </c>
      <c r="D1604" s="123">
        <f>SUMIF(B$3:B$3844,B1604,M$3:M$3844)/(SUMIF(B$3:B$3844,B1604,J$3:J$3844))</f>
        <v>0.69944314185228607</v>
      </c>
      <c r="E1604" s="23">
        <v>16042430</v>
      </c>
      <c r="F1604" s="46" t="s">
        <v>2064</v>
      </c>
      <c r="G1604" s="23"/>
      <c r="H1604" s="23"/>
      <c r="I1604" s="41">
        <v>107</v>
      </c>
      <c r="J1604" s="41">
        <v>121</v>
      </c>
      <c r="K1604" s="118"/>
      <c r="L1604" s="119"/>
      <c r="M1604" s="110">
        <f>IF(L1604="",I1604,(MIN(J1604,(L1604*1.6*J1604))))</f>
        <v>107</v>
      </c>
      <c r="N1604" s="111">
        <f>IF(M1604=0,0,(M1604/J1604))</f>
        <v>0.88429752066115708</v>
      </c>
    </row>
    <row r="1605" spans="2:14">
      <c r="B1605" s="72">
        <v>127637</v>
      </c>
      <c r="C1605" s="47" t="s">
        <v>2055</v>
      </c>
      <c r="D1605" s="123">
        <f>SUMIF(B$3:B$3844,B1605,M$3:M$3844)/(SUMIF(B$3:B$3844,B1605,J$3:J$3844))</f>
        <v>0.69944314185228607</v>
      </c>
      <c r="E1605" s="47">
        <v>170506</v>
      </c>
      <c r="F1605" s="48" t="s">
        <v>2065</v>
      </c>
      <c r="G1605" s="47"/>
      <c r="H1605" s="47"/>
      <c r="I1605" s="40">
        <v>183</v>
      </c>
      <c r="J1605" s="40">
        <v>193</v>
      </c>
      <c r="K1605" s="118"/>
      <c r="L1605" s="119"/>
      <c r="M1605" s="110">
        <f>IF(L1605="",I1605,(MIN(J1605,(L1605*1.6*J1605))))</f>
        <v>183</v>
      </c>
      <c r="N1605" s="111">
        <f>IF(M1605=0,0,(M1605/J1605))</f>
        <v>0.94818652849740936</v>
      </c>
    </row>
    <row r="1606" spans="2:14">
      <c r="B1606" s="73">
        <v>127637</v>
      </c>
      <c r="C1606" s="23" t="s">
        <v>2055</v>
      </c>
      <c r="D1606" s="123">
        <f>SUMIF(B$3:B$3844,B1606,M$3:M$3844)/(SUMIF(B$3:B$3844,B1606,J$3:J$3844))</f>
        <v>0.69944314185228607</v>
      </c>
      <c r="E1606" s="23">
        <v>16084677</v>
      </c>
      <c r="F1606" s="46" t="s">
        <v>2066</v>
      </c>
      <c r="G1606" s="23"/>
      <c r="H1606" s="23"/>
      <c r="I1606" s="41">
        <v>5</v>
      </c>
      <c r="J1606" s="41">
        <v>24</v>
      </c>
      <c r="K1606" s="118"/>
      <c r="L1606" s="119"/>
      <c r="M1606" s="110">
        <f>IF(L1606="",I1606,(MIN(J1606,(L1606*1.6*J1606))))</f>
        <v>5</v>
      </c>
      <c r="N1606" s="111">
        <f>IF(M1606=0,0,(M1606/J1606))</f>
        <v>0.20833333333333334</v>
      </c>
    </row>
    <row r="1607" spans="2:14">
      <c r="B1607" s="72">
        <v>127637</v>
      </c>
      <c r="C1607" s="47" t="s">
        <v>2055</v>
      </c>
      <c r="D1607" s="123">
        <f>SUMIF(B$3:B$3844,B1607,M$3:M$3844)/(SUMIF(B$3:B$3844,B1607,J$3:J$3844))</f>
        <v>0.69944314185228607</v>
      </c>
      <c r="E1607" s="47">
        <v>35447</v>
      </c>
      <c r="F1607" s="48" t="s">
        <v>2067</v>
      </c>
      <c r="G1607" s="47"/>
      <c r="H1607" s="47"/>
      <c r="I1607" s="40">
        <v>370</v>
      </c>
      <c r="J1607" s="40">
        <v>523</v>
      </c>
      <c r="K1607" s="118"/>
      <c r="L1607" s="119"/>
      <c r="M1607" s="110">
        <f>IF(L1607="",I1607,(MIN(J1607,(L1607*1.6*J1607))))</f>
        <v>370</v>
      </c>
      <c r="N1607" s="111">
        <f>IF(M1607=0,0,(M1607/J1607))</f>
        <v>0.70745697896749526</v>
      </c>
    </row>
    <row r="1608" spans="2:14">
      <c r="B1608" s="73">
        <v>127637</v>
      </c>
      <c r="C1608" s="23" t="s">
        <v>2055</v>
      </c>
      <c r="D1608" s="123">
        <f>SUMIF(B$3:B$3844,B1608,M$3:M$3844)/(SUMIF(B$3:B$3844,B1608,J$3:J$3844))</f>
        <v>0.69944314185228607</v>
      </c>
      <c r="E1608" s="23">
        <v>35449</v>
      </c>
      <c r="F1608" s="46" t="s">
        <v>2068</v>
      </c>
      <c r="G1608" s="23"/>
      <c r="H1608" s="23"/>
      <c r="I1608" s="41"/>
      <c r="J1608" s="41">
        <v>0</v>
      </c>
      <c r="K1608" s="118"/>
      <c r="L1608" s="119"/>
      <c r="M1608" s="110">
        <f>IF(L1608="",I1608,(MIN(J1608,(L1608*1.6*J1608))))</f>
        <v>0</v>
      </c>
      <c r="N1608" s="111">
        <f>IF(M1608=0,0,(M1608/J1608))</f>
        <v>0</v>
      </c>
    </row>
    <row r="1609" spans="2:14">
      <c r="B1609" s="72">
        <v>127637</v>
      </c>
      <c r="C1609" s="47" t="s">
        <v>2055</v>
      </c>
      <c r="D1609" s="123">
        <f>SUMIF(B$3:B$3844,B1609,M$3:M$3844)/(SUMIF(B$3:B$3844,B1609,J$3:J$3844))</f>
        <v>0.69944314185228607</v>
      </c>
      <c r="E1609" s="47">
        <v>35450</v>
      </c>
      <c r="F1609" s="48" t="s">
        <v>2069</v>
      </c>
      <c r="G1609" s="47"/>
      <c r="H1609" s="47"/>
      <c r="I1609" s="40">
        <v>410</v>
      </c>
      <c r="J1609" s="40">
        <v>765</v>
      </c>
      <c r="K1609" s="118"/>
      <c r="L1609" s="119"/>
      <c r="M1609" s="110">
        <f>IF(L1609="",I1609,(MIN(J1609,(L1609*1.6*J1609))))</f>
        <v>410</v>
      </c>
      <c r="N1609" s="111">
        <f>IF(M1609=0,0,(M1609/J1609))</f>
        <v>0.53594771241830064</v>
      </c>
    </row>
    <row r="1610" spans="2:14">
      <c r="B1610" s="73">
        <v>127637</v>
      </c>
      <c r="C1610" s="23" t="s">
        <v>2055</v>
      </c>
      <c r="D1610" s="123">
        <f>SUMIF(B$3:B$3844,B1610,M$3:M$3844)/(SUMIF(B$3:B$3844,B1610,J$3:J$3844))</f>
        <v>0.69944314185228607</v>
      </c>
      <c r="E1610" s="23">
        <v>35454</v>
      </c>
      <c r="F1610" s="46" t="s">
        <v>2070</v>
      </c>
      <c r="G1610" s="23"/>
      <c r="H1610" s="23"/>
      <c r="I1610" s="41">
        <v>367</v>
      </c>
      <c r="J1610" s="41">
        <v>628</v>
      </c>
      <c r="K1610" s="118"/>
      <c r="L1610" s="119"/>
      <c r="M1610" s="110">
        <f>IF(L1610="",I1610,(MIN(J1610,(L1610*1.6*J1610))))</f>
        <v>367</v>
      </c>
      <c r="N1610" s="111">
        <f>IF(M1610=0,0,(M1610/J1610))</f>
        <v>0.58439490445859876</v>
      </c>
    </row>
    <row r="1611" spans="2:14">
      <c r="B1611" s="72">
        <v>127637</v>
      </c>
      <c r="C1611" s="47" t="s">
        <v>2055</v>
      </c>
      <c r="D1611" s="123">
        <f>SUMIF(B$3:B$3844,B1611,M$3:M$3844)/(SUMIF(B$3:B$3844,B1611,J$3:J$3844))</f>
        <v>0.69944314185228607</v>
      </c>
      <c r="E1611" s="47">
        <v>35451</v>
      </c>
      <c r="F1611" s="48" t="s">
        <v>192</v>
      </c>
      <c r="G1611" s="47"/>
      <c r="H1611" s="47"/>
      <c r="I1611" s="40">
        <v>408</v>
      </c>
      <c r="J1611" s="40">
        <v>609</v>
      </c>
      <c r="K1611" s="118"/>
      <c r="L1611" s="119"/>
      <c r="M1611" s="110">
        <f>IF(L1611="",I1611,(MIN(J1611,(L1611*1.6*J1611))))</f>
        <v>408</v>
      </c>
      <c r="N1611" s="111">
        <f>IF(M1611=0,0,(M1611/J1611))</f>
        <v>0.66995073891625612</v>
      </c>
    </row>
    <row r="1612" spans="2:14">
      <c r="B1612" s="73">
        <v>127637</v>
      </c>
      <c r="C1612" s="23" t="s">
        <v>2055</v>
      </c>
      <c r="D1612" s="123">
        <f>SUMIF(B$3:B$3844,B1612,M$3:M$3844)/(SUMIF(B$3:B$3844,B1612,J$3:J$3844))</f>
        <v>0.69944314185228607</v>
      </c>
      <c r="E1612" s="23">
        <v>35470</v>
      </c>
      <c r="F1612" s="46" t="s">
        <v>2071</v>
      </c>
      <c r="G1612" s="23"/>
      <c r="H1612" s="23"/>
      <c r="I1612" s="41">
        <v>310</v>
      </c>
      <c r="J1612" s="41">
        <v>451</v>
      </c>
      <c r="K1612" s="118"/>
      <c r="L1612" s="119"/>
      <c r="M1612" s="110">
        <f>IF(L1612="",I1612,(MIN(J1612,(L1612*1.6*J1612))))</f>
        <v>310</v>
      </c>
      <c r="N1612" s="111">
        <f>IF(M1612=0,0,(M1612/J1612))</f>
        <v>0.68736141906873616</v>
      </c>
    </row>
    <row r="1613" spans="2:14">
      <c r="B1613" s="72">
        <v>127637</v>
      </c>
      <c r="C1613" s="47" t="s">
        <v>2055</v>
      </c>
      <c r="D1613" s="123">
        <f>SUMIF(B$3:B$3844,B1613,M$3:M$3844)/(SUMIF(B$3:B$3844,B1613,J$3:J$3844))</f>
        <v>0.69944314185228607</v>
      </c>
      <c r="E1613" s="47">
        <v>35471</v>
      </c>
      <c r="F1613" s="48" t="s">
        <v>2072</v>
      </c>
      <c r="G1613" s="47"/>
      <c r="H1613" s="47"/>
      <c r="I1613" s="40">
        <v>218</v>
      </c>
      <c r="J1613" s="40">
        <v>403</v>
      </c>
      <c r="K1613" s="118"/>
      <c r="L1613" s="119"/>
      <c r="M1613" s="110">
        <f>IF(L1613="",I1613,(MIN(J1613,(L1613*1.6*J1613))))</f>
        <v>218</v>
      </c>
      <c r="N1613" s="111">
        <f>IF(M1613=0,0,(M1613/J1613))</f>
        <v>0.54094292803970223</v>
      </c>
    </row>
    <row r="1614" spans="2:14">
      <c r="B1614" s="73">
        <v>127611</v>
      </c>
      <c r="C1614" s="23" t="str">
        <f>"JEFFERSON"</f>
        <v>JEFFERSON</v>
      </c>
      <c r="D1614" s="123">
        <f>SUMIF(B$3:B$3844,B1614,M$3:M$3844)/(SUMIF(B$3:B$3844,B1614,J$3:J$3844))</f>
        <v>1</v>
      </c>
      <c r="E1614" s="23">
        <v>17002498</v>
      </c>
      <c r="F1614" s="46" t="str">
        <f>"JEFFERSON COUNTY ADULT SCHOOL"</f>
        <v>JEFFERSON COUNTY ADULT SCHOOL</v>
      </c>
      <c r="G1614" s="23"/>
      <c r="H1614" s="23"/>
      <c r="I1614" s="41"/>
      <c r="J1614" s="41">
        <v>0</v>
      </c>
      <c r="K1614" s="20"/>
      <c r="L1614" s="20"/>
      <c r="M1614" s="110">
        <f>IF(L1614="",I1614,(MIN(J1614,(L1614*1.6*J1614))))</f>
        <v>0</v>
      </c>
      <c r="N1614" s="111">
        <f>IF(M1614=0,0,(M1614/J1614))</f>
        <v>0</v>
      </c>
    </row>
    <row r="1615" spans="2:14">
      <c r="B1615" s="72">
        <v>127611</v>
      </c>
      <c r="C1615" s="47" t="str">
        <f>"JEFFERSON"</f>
        <v>JEFFERSON</v>
      </c>
      <c r="D1615" s="123">
        <f>SUMIF(B$3:B$3844,B1615,M$3:M$3844)/(SUMIF(B$3:B$3844,B1615,J$3:J$3844))</f>
        <v>1</v>
      </c>
      <c r="E1615" s="47">
        <v>35343</v>
      </c>
      <c r="F1615" s="48" t="s">
        <v>838</v>
      </c>
      <c r="G1615" s="47"/>
      <c r="H1615" s="47"/>
      <c r="I1615" s="40"/>
      <c r="J1615" s="40">
        <v>437</v>
      </c>
      <c r="K1615" s="20">
        <v>2015</v>
      </c>
      <c r="L1615" s="20">
        <v>77.260000000000005</v>
      </c>
      <c r="M1615" s="110">
        <f>IF(L1615="",I1615,(MIN(J1615,(L1615*1.6*J1615))))</f>
        <v>437</v>
      </c>
      <c r="N1615" s="111">
        <f>IF(M1615=0,0,(M1615/J1615))</f>
        <v>1</v>
      </c>
    </row>
    <row r="1616" spans="2:14">
      <c r="B1616" s="73">
        <v>127611</v>
      </c>
      <c r="C1616" s="23" t="str">
        <f>"JEFFERSON"</f>
        <v>JEFFERSON</v>
      </c>
      <c r="D1616" s="123">
        <f>SUMIF(B$3:B$3844,B1616,M$3:M$3844)/(SUMIF(B$3:B$3844,B1616,J$3:J$3844))</f>
        <v>1</v>
      </c>
      <c r="E1616" s="23">
        <v>212218</v>
      </c>
      <c r="F1616" s="46" t="str">
        <f>"JEFFERSON COUNTY ESE SCHOOL"</f>
        <v>JEFFERSON COUNTY ESE SCHOOL</v>
      </c>
      <c r="G1616" s="23"/>
      <c r="H1616" s="23"/>
      <c r="I1616" s="41"/>
      <c r="J1616" s="41" t="s">
        <v>798</v>
      </c>
      <c r="K1616" s="20"/>
      <c r="L1616" s="20"/>
      <c r="M1616" s="110">
        <f>IF(L1616="",I1616,(MIN(J1616,(L1616*1.6*J1616))))</f>
        <v>0</v>
      </c>
      <c r="N1616" s="111">
        <f>IF(M1616=0,0,(M1616/J1616))</f>
        <v>0</v>
      </c>
    </row>
    <row r="1617" spans="2:14">
      <c r="B1617" s="72">
        <v>127611</v>
      </c>
      <c r="C1617" s="47" t="str">
        <f>"JEFFERSON"</f>
        <v>JEFFERSON</v>
      </c>
      <c r="D1617" s="123">
        <f>SUMIF(B$3:B$3844,B1617,M$3:M$3844)/(SUMIF(B$3:B$3844,B1617,J$3:J$3844))</f>
        <v>1</v>
      </c>
      <c r="E1617" s="47">
        <v>35341</v>
      </c>
      <c r="F1617" s="48" t="s">
        <v>839</v>
      </c>
      <c r="G1617" s="47"/>
      <c r="H1617" s="47"/>
      <c r="I1617" s="40"/>
      <c r="J1617" s="40">
        <v>338</v>
      </c>
      <c r="K1617" s="20">
        <v>2015</v>
      </c>
      <c r="L1617" s="20">
        <v>77.260000000000005</v>
      </c>
      <c r="M1617" s="110">
        <f>IF(L1617="",I1617,(MIN(J1617,(L1617*1.6*J1617))))</f>
        <v>338</v>
      </c>
      <c r="N1617" s="111">
        <f>IF(M1617=0,0,(M1617/J1617))</f>
        <v>1</v>
      </c>
    </row>
    <row r="1618" spans="2:14">
      <c r="B1618" s="73">
        <v>127611</v>
      </c>
      <c r="C1618" s="23" t="str">
        <f>"JEFFERSON"</f>
        <v>JEFFERSON</v>
      </c>
      <c r="D1618" s="123">
        <f>SUMIF(B$3:B$3844,B1618,M$3:M$3844)/(SUMIF(B$3:B$3844,B1618,J$3:J$3844))</f>
        <v>1</v>
      </c>
      <c r="E1618" s="23">
        <v>16032183</v>
      </c>
      <c r="F1618" s="46" t="str">
        <f>"JEFFERSON DISTRICT OFFICE"</f>
        <v>JEFFERSON DISTRICT OFFICE</v>
      </c>
      <c r="G1618" s="23"/>
      <c r="H1618" s="23"/>
      <c r="I1618" s="41"/>
      <c r="J1618" s="41" t="str">
        <f>"0"</f>
        <v>0</v>
      </c>
      <c r="K1618" s="20"/>
      <c r="L1618" s="20"/>
      <c r="M1618" s="110">
        <f>IF(L1618="",I1618,(MIN(J1618,(L1618*1.6*J1618))))</f>
        <v>0</v>
      </c>
      <c r="N1618" s="111">
        <f>IF(M1618=0,0,(M1618/J1618))</f>
        <v>0</v>
      </c>
    </row>
    <row r="1619" spans="2:14">
      <c r="B1619" s="72">
        <v>127611</v>
      </c>
      <c r="C1619" s="47" t="str">
        <f>"JEFFERSON"</f>
        <v>JEFFERSON</v>
      </c>
      <c r="D1619" s="123">
        <f>SUMIF(B$3:B$3844,B1619,M$3:M$3844)/(SUMIF(B$3:B$3844,B1619,J$3:J$3844))</f>
        <v>1</v>
      </c>
      <c r="E1619" s="47">
        <v>16083534</v>
      </c>
      <c r="F1619" s="48" t="s">
        <v>840</v>
      </c>
      <c r="G1619" s="47"/>
      <c r="H1619" s="47"/>
      <c r="I1619" s="40"/>
      <c r="J1619" s="40">
        <v>0</v>
      </c>
      <c r="K1619" s="20"/>
      <c r="L1619" s="20"/>
      <c r="M1619" s="110">
        <f>IF(L1619="",I1619,(MIN(J1619,(L1619*1.6*J1619))))</f>
        <v>0</v>
      </c>
      <c r="N1619" s="111">
        <f>IF(M1619=0,0,(M1619/J1619))</f>
        <v>0</v>
      </c>
    </row>
    <row r="1620" spans="2:14">
      <c r="B1620" s="73">
        <v>127611</v>
      </c>
      <c r="C1620" s="23" t="s">
        <v>837</v>
      </c>
      <c r="D1620" s="123">
        <f>SUMIF(B$3:B$3844,B1620,M$3:M$3844)/(SUMIF(B$3:B$3844,B1620,J$3:J$3844))</f>
        <v>1</v>
      </c>
      <c r="E1620" s="23">
        <v>17002497</v>
      </c>
      <c r="F1620" s="46" t="s">
        <v>841</v>
      </c>
      <c r="G1620" s="23"/>
      <c r="H1620" s="23"/>
      <c r="I1620" s="41"/>
      <c r="J1620" s="41">
        <v>0</v>
      </c>
      <c r="K1620" s="20"/>
      <c r="L1620" s="20"/>
      <c r="M1620" s="110">
        <f>IF(L1620="",I1620,(MIN(J1620,(L1620*1.6*J1620))))</f>
        <v>0</v>
      </c>
      <c r="N1620" s="111">
        <f>IF(M1620=0,0,(M1620/J1620))</f>
        <v>0</v>
      </c>
    </row>
    <row r="1621" spans="2:14">
      <c r="B1621" s="72">
        <v>127611</v>
      </c>
      <c r="C1621" s="47" t="str">
        <f>"JEFFERSON"</f>
        <v>JEFFERSON</v>
      </c>
      <c r="D1621" s="123">
        <f>SUMIF(B$3:B$3844,B1621,M$3:M$3844)/(SUMIF(B$3:B$3844,B1621,J$3:J$3844))</f>
        <v>1</v>
      </c>
      <c r="E1621" s="47">
        <v>17002143</v>
      </c>
      <c r="F1621" s="48" t="s">
        <v>842</v>
      </c>
      <c r="G1621" s="47"/>
      <c r="H1621" s="47"/>
      <c r="I1621" s="40"/>
      <c r="J1621" s="40">
        <v>21</v>
      </c>
      <c r="K1621" s="20">
        <v>2015</v>
      </c>
      <c r="L1621" s="20">
        <v>100</v>
      </c>
      <c r="M1621" s="110">
        <f>IF(L1621="",I1621,(MIN(J1621,(L1621*1.6*J1621))))</f>
        <v>21</v>
      </c>
      <c r="N1621" s="111">
        <f>IF(M1621=0,0,(M1621/J1621))</f>
        <v>1</v>
      </c>
    </row>
    <row r="1622" spans="2:14">
      <c r="B1622" s="73">
        <v>127563</v>
      </c>
      <c r="C1622" s="23" t="str">
        <f>"LAFAYETTE"</f>
        <v>LAFAYETTE</v>
      </c>
      <c r="D1622" s="123">
        <f>SUMIF(B$3:B$3844,B1622,M$3:M$3844)/(SUMIF(B$3:B$3844,B1622,J$3:J$3844))</f>
        <v>0.77830940988835728</v>
      </c>
      <c r="E1622" s="23">
        <v>34814</v>
      </c>
      <c r="F1622" s="46" t="str">
        <f>"LAFAYETTE ELEMENTARY SCHOOL"</f>
        <v>LAFAYETTE ELEMENTARY SCHOOL</v>
      </c>
      <c r="G1622" s="23"/>
      <c r="H1622" s="23"/>
      <c r="I1622" s="41"/>
      <c r="J1622" s="41">
        <v>623</v>
      </c>
      <c r="K1622" s="20">
        <v>2015</v>
      </c>
      <c r="L1622" s="21">
        <v>0.63890000000000002</v>
      </c>
      <c r="M1622" s="110">
        <f>IF(L1622="",I1622,(MIN(J1622,(L1622*1.6*J1622))))</f>
        <v>623</v>
      </c>
      <c r="N1622" s="111">
        <f>IF(M1622=0,0,(M1622/J1622))</f>
        <v>1</v>
      </c>
    </row>
    <row r="1623" spans="2:14">
      <c r="B1623" s="73">
        <v>127563</v>
      </c>
      <c r="C1623" s="23" t="str">
        <f>"LAFAYETTE"</f>
        <v>LAFAYETTE</v>
      </c>
      <c r="D1623" s="109">
        <f>SUMIF(B$3:B$3844,B1623,M$3:M$3844)/(SUMIF(B$3:B$3844,B1623,J$3:J$3844))</f>
        <v>0.77830940988835728</v>
      </c>
      <c r="E1623" s="91">
        <v>17004613</v>
      </c>
      <c r="F1623" s="92" t="s">
        <v>2424</v>
      </c>
      <c r="G1623" s="116"/>
      <c r="H1623" s="117"/>
      <c r="I1623" s="40"/>
      <c r="J1623" s="40">
        <v>14</v>
      </c>
      <c r="K1623" s="118"/>
      <c r="L1623" s="119"/>
      <c r="M1623" s="110">
        <f>IF(L1623="",I1623,(MIN(J1623,(L1623*1.6*J1623))))</f>
        <v>0</v>
      </c>
      <c r="N1623" s="111">
        <f>IF(M1623=0,0,(M1623/J1623))</f>
        <v>0</v>
      </c>
    </row>
    <row r="1624" spans="2:14">
      <c r="B1624" s="72">
        <v>127563</v>
      </c>
      <c r="C1624" s="47" t="str">
        <f>"LAFAYETTE"</f>
        <v>LAFAYETTE</v>
      </c>
      <c r="D1624" s="123">
        <f>SUMIF(B$3:B$3844,B1624,M$3:M$3844)/(SUMIF(B$3:B$3844,B1624,J$3:J$3844))</f>
        <v>0.77830940988835728</v>
      </c>
      <c r="E1624" s="47">
        <v>34813</v>
      </c>
      <c r="F1624" s="48" t="str">
        <f>"LAFAYETTE HIGH SCHOOL"</f>
        <v>LAFAYETTE HIGH SCHOOL</v>
      </c>
      <c r="G1624" s="47"/>
      <c r="H1624" s="47"/>
      <c r="I1624" s="40">
        <v>353</v>
      </c>
      <c r="J1624" s="40">
        <v>617</v>
      </c>
      <c r="K1624" s="20"/>
      <c r="L1624" s="21"/>
      <c r="M1624" s="110">
        <f>IF(L1624="",I1624,(MIN(J1624,(L1624*1.6*J1624))))</f>
        <v>353</v>
      </c>
      <c r="N1624" s="111">
        <f>IF(M1624=0,0,(M1624/J1624))</f>
        <v>0.57212317666126422</v>
      </c>
    </row>
    <row r="1625" spans="2:14">
      <c r="B1625" s="73">
        <v>127672</v>
      </c>
      <c r="C1625" s="23" t="s">
        <v>2073</v>
      </c>
      <c r="D1625" s="123">
        <f>SUMIF(B$3:B$3844,B1625,M$3:M$3844)/(SUMIF(B$3:B$3844,B1625,J$3:J$3844))</f>
        <v>0.61815783688722792</v>
      </c>
      <c r="E1625" s="23">
        <v>228322</v>
      </c>
      <c r="F1625" s="46" t="s">
        <v>2074</v>
      </c>
      <c r="G1625" s="23"/>
      <c r="H1625" s="23"/>
      <c r="I1625" s="41">
        <v>132</v>
      </c>
      <c r="J1625" s="41">
        <v>299</v>
      </c>
      <c r="K1625" s="118"/>
      <c r="L1625" s="119"/>
      <c r="M1625" s="110">
        <f>IF(L1625="",I1625,(MIN(J1625,(L1625*1.6*J1625))))</f>
        <v>132</v>
      </c>
      <c r="N1625" s="111">
        <f>IF(M1625=0,0,(M1625/J1625))</f>
        <v>0.4414715719063545</v>
      </c>
    </row>
    <row r="1626" spans="2:14">
      <c r="B1626" s="72">
        <v>127672</v>
      </c>
      <c r="C1626" s="47" t="s">
        <v>2073</v>
      </c>
      <c r="D1626" s="123">
        <f>SUMIF(B$3:B$3844,B1626,M$3:M$3844)/(SUMIF(B$3:B$3844,B1626,J$3:J$3844))</f>
        <v>0.61815783688722792</v>
      </c>
      <c r="E1626" s="47">
        <v>208613</v>
      </c>
      <c r="F1626" s="48" t="s">
        <v>2075</v>
      </c>
      <c r="G1626" s="47"/>
      <c r="H1626" s="47"/>
      <c r="I1626" s="40">
        <v>400</v>
      </c>
      <c r="J1626" s="40">
        <v>624</v>
      </c>
      <c r="K1626" s="118"/>
      <c r="L1626" s="119"/>
      <c r="M1626" s="110">
        <f>IF(L1626="",I1626,(MIN(J1626,(L1626*1.6*J1626))))</f>
        <v>400</v>
      </c>
      <c r="N1626" s="111">
        <f>IF(M1626=0,0,(M1626/J1626))</f>
        <v>0.64102564102564108</v>
      </c>
    </row>
    <row r="1627" spans="2:14">
      <c r="B1627" s="73">
        <v>127672</v>
      </c>
      <c r="C1627" s="23" t="s">
        <v>2073</v>
      </c>
      <c r="D1627" s="123">
        <f>SUMIF(B$3:B$3844,B1627,M$3:M$3844)/(SUMIF(B$3:B$3844,B1627,J$3:J$3844))</f>
        <v>0.61815783688722792</v>
      </c>
      <c r="E1627" s="23">
        <v>38754</v>
      </c>
      <c r="F1627" s="46" t="s">
        <v>2076</v>
      </c>
      <c r="G1627" s="23"/>
      <c r="H1627" s="23"/>
      <c r="I1627" s="41">
        <v>649</v>
      </c>
      <c r="J1627" s="41">
        <v>722</v>
      </c>
      <c r="K1627" s="118"/>
      <c r="L1627" s="119"/>
      <c r="M1627" s="110">
        <f>IF(L1627="",I1627,(MIN(J1627,(L1627*1.6*J1627))))</f>
        <v>649</v>
      </c>
      <c r="N1627" s="111">
        <f>IF(M1627=0,0,(M1627/J1627))</f>
        <v>0.89889196675900274</v>
      </c>
    </row>
    <row r="1628" spans="2:14">
      <c r="B1628" s="72">
        <v>127672</v>
      </c>
      <c r="C1628" s="47" t="s">
        <v>2073</v>
      </c>
      <c r="D1628" s="123">
        <f>SUMIF(B$3:B$3844,B1628,M$3:M$3844)/(SUMIF(B$3:B$3844,B1628,J$3:J$3844))</f>
        <v>0.61815783688722792</v>
      </c>
      <c r="E1628" s="47">
        <v>38756</v>
      </c>
      <c r="F1628" s="48" t="s">
        <v>2077</v>
      </c>
      <c r="G1628" s="47"/>
      <c r="H1628" s="47"/>
      <c r="I1628" s="40">
        <v>599</v>
      </c>
      <c r="J1628" s="40">
        <v>809</v>
      </c>
      <c r="K1628" s="118"/>
      <c r="L1628" s="119"/>
      <c r="M1628" s="110">
        <f>IF(L1628="",I1628,(MIN(J1628,(L1628*1.6*J1628))))</f>
        <v>599</v>
      </c>
      <c r="N1628" s="111">
        <f>IF(M1628=0,0,(M1628/J1628))</f>
        <v>0.74042027194066751</v>
      </c>
    </row>
    <row r="1629" spans="2:14">
      <c r="B1629" s="73">
        <v>127672</v>
      </c>
      <c r="C1629" s="23" t="s">
        <v>2073</v>
      </c>
      <c r="D1629" s="123">
        <f>SUMIF(B$3:B$3844,B1629,M$3:M$3844)/(SUMIF(B$3:B$3844,B1629,J$3:J$3844))</f>
        <v>0.61815783688722792</v>
      </c>
      <c r="E1629" s="23">
        <v>225512</v>
      </c>
      <c r="F1629" s="46" t="s">
        <v>2078</v>
      </c>
      <c r="G1629" s="23"/>
      <c r="H1629" s="23"/>
      <c r="I1629" s="41">
        <v>622</v>
      </c>
      <c r="J1629" s="41">
        <v>1019</v>
      </c>
      <c r="K1629" s="118"/>
      <c r="L1629" s="119"/>
      <c r="M1629" s="110">
        <f>IF(L1629="",I1629,(MIN(J1629,(L1629*1.6*J1629))))</f>
        <v>622</v>
      </c>
      <c r="N1629" s="111">
        <f>IF(M1629=0,0,(M1629/J1629))</f>
        <v>0.61040235525024533</v>
      </c>
    </row>
    <row r="1630" spans="2:14">
      <c r="B1630" s="72">
        <v>127672</v>
      </c>
      <c r="C1630" s="47" t="s">
        <v>2073</v>
      </c>
      <c r="D1630" s="123">
        <f>SUMIF(B$3:B$3844,B1630,M$3:M$3844)/(SUMIF(B$3:B$3844,B1630,J$3:J$3844))</f>
        <v>0.61815783688722792</v>
      </c>
      <c r="E1630" s="47">
        <v>38721</v>
      </c>
      <c r="F1630" s="48" t="s">
        <v>2079</v>
      </c>
      <c r="G1630" s="47"/>
      <c r="H1630" s="47"/>
      <c r="I1630" s="40">
        <v>436</v>
      </c>
      <c r="J1630" s="40">
        <v>559</v>
      </c>
      <c r="K1630" s="118"/>
      <c r="L1630" s="119"/>
      <c r="M1630" s="110">
        <f>IF(L1630="",I1630,(MIN(J1630,(L1630*1.6*J1630))))</f>
        <v>436</v>
      </c>
      <c r="N1630" s="111">
        <f>IF(M1630=0,0,(M1630/J1630))</f>
        <v>0.77996422182468694</v>
      </c>
    </row>
    <row r="1631" spans="2:14">
      <c r="B1631" s="73">
        <v>127672</v>
      </c>
      <c r="C1631" s="23" t="s">
        <v>2073</v>
      </c>
      <c r="D1631" s="123">
        <f>SUMIF(B$3:B$3844,B1631,M$3:M$3844)/(SUMIF(B$3:B$3844,B1631,J$3:J$3844))</f>
        <v>0.61815783688722792</v>
      </c>
      <c r="E1631" s="23">
        <v>38719</v>
      </c>
      <c r="F1631" s="46" t="s">
        <v>2080</v>
      </c>
      <c r="G1631" s="23"/>
      <c r="H1631" s="23"/>
      <c r="I1631" s="41">
        <v>431</v>
      </c>
      <c r="J1631" s="41">
        <v>730</v>
      </c>
      <c r="K1631" s="118"/>
      <c r="L1631" s="119"/>
      <c r="M1631" s="110">
        <f>IF(L1631="",I1631,(MIN(J1631,(L1631*1.6*J1631))))</f>
        <v>431</v>
      </c>
      <c r="N1631" s="111">
        <f>IF(M1631=0,0,(M1631/J1631))</f>
        <v>0.59041095890410955</v>
      </c>
    </row>
    <row r="1632" spans="2:14">
      <c r="B1632" s="72">
        <v>127672</v>
      </c>
      <c r="C1632" s="47" t="s">
        <v>2073</v>
      </c>
      <c r="D1632" s="123">
        <f>SUMIF(B$3:B$3844,B1632,M$3:M$3844)/(SUMIF(B$3:B$3844,B1632,J$3:J$3844))</f>
        <v>0.61815783688722792</v>
      </c>
      <c r="E1632" s="47">
        <v>38720</v>
      </c>
      <c r="F1632" s="48" t="s">
        <v>2081</v>
      </c>
      <c r="G1632" s="47"/>
      <c r="H1632" s="47"/>
      <c r="I1632" s="40">
        <v>143</v>
      </c>
      <c r="J1632" s="40">
        <v>599</v>
      </c>
      <c r="K1632" s="118"/>
      <c r="L1632" s="119"/>
      <c r="M1632" s="110">
        <f>IF(L1632="",I1632,(MIN(J1632,(L1632*1.6*J1632))))</f>
        <v>143</v>
      </c>
      <c r="N1632" s="111">
        <f>IF(M1632=0,0,(M1632/J1632))</f>
        <v>0.23873121869782971</v>
      </c>
    </row>
    <row r="1633" spans="2:14">
      <c r="B1633" s="73">
        <v>127672</v>
      </c>
      <c r="C1633" s="23" t="s">
        <v>2073</v>
      </c>
      <c r="D1633" s="123">
        <f>SUMIF(B$3:B$3844,B1633,M$3:M$3844)/(SUMIF(B$3:B$3844,B1633,J$3:J$3844))</f>
        <v>0.61815783688722792</v>
      </c>
      <c r="E1633" s="23">
        <v>231307</v>
      </c>
      <c r="F1633" s="46" t="s">
        <v>2082</v>
      </c>
      <c r="G1633" s="23"/>
      <c r="H1633" s="23"/>
      <c r="I1633" s="41">
        <v>1158</v>
      </c>
      <c r="J1633" s="41">
        <v>2316</v>
      </c>
      <c r="K1633" s="118"/>
      <c r="L1633" s="119"/>
      <c r="M1633" s="110">
        <f>IF(L1633="",I1633,(MIN(J1633,(L1633*1.6*J1633))))</f>
        <v>1158</v>
      </c>
      <c r="N1633" s="111">
        <f>IF(M1633=0,0,(M1633/J1633))</f>
        <v>0.5</v>
      </c>
    </row>
    <row r="1634" spans="2:14">
      <c r="B1634" s="72">
        <v>127672</v>
      </c>
      <c r="C1634" s="47" t="s">
        <v>2073</v>
      </c>
      <c r="D1634" s="123">
        <f>SUMIF(B$3:B$3844,B1634,M$3:M$3844)/(SUMIF(B$3:B$3844,B1634,J$3:J$3844))</f>
        <v>0.61815783688722792</v>
      </c>
      <c r="E1634" s="47">
        <v>16050694</v>
      </c>
      <c r="F1634" s="48" t="s">
        <v>2083</v>
      </c>
      <c r="G1634" s="47"/>
      <c r="H1634" s="47"/>
      <c r="I1634" s="40">
        <v>534</v>
      </c>
      <c r="J1634" s="40">
        <v>1132</v>
      </c>
      <c r="K1634" s="118"/>
      <c r="L1634" s="119"/>
      <c r="M1634" s="110">
        <f>IF(L1634="",I1634,(MIN(J1634,(L1634*1.6*J1634))))</f>
        <v>534</v>
      </c>
      <c r="N1634" s="111">
        <f>IF(M1634=0,0,(M1634/J1634))</f>
        <v>0.4717314487632509</v>
      </c>
    </row>
    <row r="1635" spans="2:14">
      <c r="B1635" s="73">
        <v>127672</v>
      </c>
      <c r="C1635" s="23" t="s">
        <v>2073</v>
      </c>
      <c r="D1635" s="123">
        <f>SUMIF(B$3:B$3844,B1635,M$3:M$3844)/(SUMIF(B$3:B$3844,B1635,J$3:J$3844))</f>
        <v>0.61815783688722792</v>
      </c>
      <c r="E1635" s="23">
        <v>35854</v>
      </c>
      <c r="F1635" s="46" t="s">
        <v>2084</v>
      </c>
      <c r="G1635" s="23"/>
      <c r="H1635" s="23"/>
      <c r="I1635" s="41">
        <v>373</v>
      </c>
      <c r="J1635" s="41">
        <v>529</v>
      </c>
      <c r="K1635" s="118"/>
      <c r="L1635" s="119"/>
      <c r="M1635" s="110">
        <f>IF(L1635="",I1635,(MIN(J1635,(L1635*1.6*J1635))))</f>
        <v>373</v>
      </c>
      <c r="N1635" s="111">
        <f>IF(M1635=0,0,(M1635/J1635))</f>
        <v>0.70510396975425327</v>
      </c>
    </row>
    <row r="1636" spans="2:14">
      <c r="B1636" s="72">
        <v>127672</v>
      </c>
      <c r="C1636" s="47" t="s">
        <v>2073</v>
      </c>
      <c r="D1636" s="123">
        <f>SUMIF(B$3:B$3844,B1636,M$3:M$3844)/(SUMIF(B$3:B$3844,B1636,J$3:J$3844))</f>
        <v>0.61815783688722792</v>
      </c>
      <c r="E1636" s="47">
        <v>35856</v>
      </c>
      <c r="F1636" s="48" t="s">
        <v>2085</v>
      </c>
      <c r="G1636" s="47"/>
      <c r="H1636" s="47"/>
      <c r="I1636" s="40">
        <v>521</v>
      </c>
      <c r="J1636" s="40">
        <v>589</v>
      </c>
      <c r="K1636" s="118"/>
      <c r="L1636" s="119"/>
      <c r="M1636" s="110">
        <f>IF(L1636="",I1636,(MIN(J1636,(L1636*1.6*J1636))))</f>
        <v>521</v>
      </c>
      <c r="N1636" s="111">
        <f>IF(M1636=0,0,(M1636/J1636))</f>
        <v>0.88455008488964348</v>
      </c>
    </row>
    <row r="1637" spans="2:14">
      <c r="B1637" s="73">
        <v>127672</v>
      </c>
      <c r="C1637" s="23" t="s">
        <v>2073</v>
      </c>
      <c r="D1637" s="123">
        <f>SUMIF(B$3:B$3844,B1637,M$3:M$3844)/(SUMIF(B$3:B$3844,B1637,J$3:J$3844))</f>
        <v>0.61815783688722792</v>
      </c>
      <c r="E1637" s="23">
        <v>35855</v>
      </c>
      <c r="F1637" s="46" t="s">
        <v>2086</v>
      </c>
      <c r="G1637" s="23"/>
      <c r="H1637" s="23"/>
      <c r="I1637" s="41">
        <v>627</v>
      </c>
      <c r="J1637" s="41">
        <v>1257</v>
      </c>
      <c r="K1637" s="118"/>
      <c r="L1637" s="119"/>
      <c r="M1637" s="110">
        <f>IF(L1637="",I1637,(MIN(J1637,(L1637*1.6*J1637))))</f>
        <v>627</v>
      </c>
      <c r="N1637" s="111">
        <f>IF(M1637=0,0,(M1637/J1637))</f>
        <v>0.49880668257756561</v>
      </c>
    </row>
    <row r="1638" spans="2:14">
      <c r="B1638" s="72">
        <v>127672</v>
      </c>
      <c r="C1638" s="47" t="s">
        <v>2073</v>
      </c>
      <c r="D1638" s="123">
        <f>SUMIF(B$3:B$3844,B1638,M$3:M$3844)/(SUMIF(B$3:B$3844,B1638,J$3:J$3844))</f>
        <v>0.61815783688722792</v>
      </c>
      <c r="E1638" s="47">
        <v>35862</v>
      </c>
      <c r="F1638" s="48" t="s">
        <v>2087</v>
      </c>
      <c r="G1638" s="47"/>
      <c r="H1638" s="47"/>
      <c r="I1638" s="40">
        <v>629</v>
      </c>
      <c r="J1638" s="40">
        <v>1000</v>
      </c>
      <c r="K1638" s="118"/>
      <c r="L1638" s="119"/>
      <c r="M1638" s="110">
        <f>IF(L1638="",I1638,(MIN(J1638,(L1638*1.6*J1638))))</f>
        <v>629</v>
      </c>
      <c r="N1638" s="111">
        <f>IF(M1638=0,0,(M1638/J1638))</f>
        <v>0.629</v>
      </c>
    </row>
    <row r="1639" spans="2:14">
      <c r="B1639" s="73">
        <v>127672</v>
      </c>
      <c r="C1639" s="23" t="s">
        <v>2073</v>
      </c>
      <c r="D1639" s="123">
        <f>SUMIF(B$3:B$3844,B1639,M$3:M$3844)/(SUMIF(B$3:B$3844,B1639,J$3:J$3844))</f>
        <v>0.61815783688722792</v>
      </c>
      <c r="E1639" s="23">
        <v>38724</v>
      </c>
      <c r="F1639" s="46" t="s">
        <v>2088</v>
      </c>
      <c r="G1639" s="23"/>
      <c r="H1639" s="23"/>
      <c r="I1639" s="41">
        <v>604</v>
      </c>
      <c r="J1639" s="41">
        <v>745</v>
      </c>
      <c r="K1639" s="118"/>
      <c r="L1639" s="119"/>
      <c r="M1639" s="110">
        <f>IF(L1639="",I1639,(MIN(J1639,(L1639*1.6*J1639))))</f>
        <v>604</v>
      </c>
      <c r="N1639" s="111">
        <f>IF(M1639=0,0,(M1639/J1639))</f>
        <v>0.81073825503355701</v>
      </c>
    </row>
    <row r="1640" spans="2:14">
      <c r="B1640" s="72">
        <v>127672</v>
      </c>
      <c r="C1640" s="47" t="s">
        <v>2073</v>
      </c>
      <c r="D1640" s="123">
        <f>SUMIF(B$3:B$3844,B1640,M$3:M$3844)/(SUMIF(B$3:B$3844,B1640,J$3:J$3844))</f>
        <v>0.61815783688722792</v>
      </c>
      <c r="E1640" s="47">
        <v>16044394</v>
      </c>
      <c r="F1640" s="48" t="s">
        <v>2089</v>
      </c>
      <c r="G1640" s="47"/>
      <c r="H1640" s="47"/>
      <c r="I1640" s="40">
        <v>507</v>
      </c>
      <c r="J1640" s="40">
        <v>1023</v>
      </c>
      <c r="K1640" s="118"/>
      <c r="L1640" s="119"/>
      <c r="M1640" s="110">
        <f>IF(L1640="",I1640,(MIN(J1640,(L1640*1.6*J1640))))</f>
        <v>507</v>
      </c>
      <c r="N1640" s="111">
        <f>IF(M1640=0,0,(M1640/J1640))</f>
        <v>0.49560117302052786</v>
      </c>
    </row>
    <row r="1641" spans="2:14">
      <c r="B1641" s="73">
        <v>127672</v>
      </c>
      <c r="C1641" s="23" t="s">
        <v>2073</v>
      </c>
      <c r="D1641" s="123">
        <f>SUMIF(B$3:B$3844,B1641,M$3:M$3844)/(SUMIF(B$3:B$3844,B1641,J$3:J$3844))</f>
        <v>0.61815783688722792</v>
      </c>
      <c r="E1641" s="23">
        <v>38726</v>
      </c>
      <c r="F1641" s="46" t="s">
        <v>2090</v>
      </c>
      <c r="G1641" s="23"/>
      <c r="H1641" s="23"/>
      <c r="I1641" s="41">
        <v>635</v>
      </c>
      <c r="J1641" s="41">
        <v>822</v>
      </c>
      <c r="K1641" s="118"/>
      <c r="L1641" s="119"/>
      <c r="M1641" s="110">
        <f>IF(L1641="",I1641,(MIN(J1641,(L1641*1.6*J1641))))</f>
        <v>635</v>
      </c>
      <c r="N1641" s="111">
        <f>IF(M1641=0,0,(M1641/J1641))</f>
        <v>0.77250608272506083</v>
      </c>
    </row>
    <row r="1642" spans="2:14">
      <c r="B1642" s="72">
        <v>127672</v>
      </c>
      <c r="C1642" s="47" t="s">
        <v>2073</v>
      </c>
      <c r="D1642" s="123">
        <f>SUMIF(B$3:B$3844,B1642,M$3:M$3844)/(SUMIF(B$3:B$3844,B1642,J$3:J$3844))</f>
        <v>0.61815783688722792</v>
      </c>
      <c r="E1642" s="47">
        <v>35857</v>
      </c>
      <c r="F1642" s="48" t="s">
        <v>2091</v>
      </c>
      <c r="G1642" s="47"/>
      <c r="H1642" s="47"/>
      <c r="I1642" s="40">
        <v>129</v>
      </c>
      <c r="J1642" s="40">
        <v>192</v>
      </c>
      <c r="K1642" s="118"/>
      <c r="L1642" s="119"/>
      <c r="M1642" s="110">
        <f>IF(L1642="",I1642,(MIN(J1642,(L1642*1.6*J1642))))</f>
        <v>129</v>
      </c>
      <c r="N1642" s="111">
        <f>IF(M1642=0,0,(M1642/J1642))</f>
        <v>0.671875</v>
      </c>
    </row>
    <row r="1643" spans="2:14">
      <c r="B1643" s="73">
        <v>127672</v>
      </c>
      <c r="C1643" s="23" t="s">
        <v>2073</v>
      </c>
      <c r="D1643" s="123">
        <f>SUMIF(B$3:B$3844,B1643,M$3:M$3844)/(SUMIF(B$3:B$3844,B1643,J$3:J$3844))</f>
        <v>0.61815783688722792</v>
      </c>
      <c r="E1643" s="23">
        <v>16062801</v>
      </c>
      <c r="F1643" s="46" t="s">
        <v>2092</v>
      </c>
      <c r="G1643" s="23"/>
      <c r="H1643" s="23"/>
      <c r="I1643" s="41">
        <v>881</v>
      </c>
      <c r="J1643" s="41">
        <v>1975</v>
      </c>
      <c r="K1643" s="118"/>
      <c r="L1643" s="119"/>
      <c r="M1643" s="110">
        <f>IF(L1643="",I1643,(MIN(J1643,(L1643*1.6*J1643))))</f>
        <v>881</v>
      </c>
      <c r="N1643" s="111">
        <f>IF(M1643=0,0,(M1643/J1643))</f>
        <v>0.44607594936708861</v>
      </c>
    </row>
    <row r="1644" spans="2:14">
      <c r="B1644" s="72">
        <v>127672</v>
      </c>
      <c r="C1644" s="47" t="s">
        <v>2073</v>
      </c>
      <c r="D1644" s="123">
        <f>SUMIF(B$3:B$3844,B1644,M$3:M$3844)/(SUMIF(B$3:B$3844,B1644,J$3:J$3844))</f>
        <v>0.61815783688722792</v>
      </c>
      <c r="E1644" s="47">
        <v>16081064</v>
      </c>
      <c r="F1644" s="48" t="s">
        <v>2093</v>
      </c>
      <c r="G1644" s="47"/>
      <c r="H1644" s="47"/>
      <c r="I1644" s="40">
        <v>14</v>
      </c>
      <c r="J1644" s="40">
        <v>91</v>
      </c>
      <c r="K1644" s="118"/>
      <c r="L1644" s="119"/>
      <c r="M1644" s="110">
        <f>IF(L1644="",I1644,(MIN(J1644,(L1644*1.6*J1644))))</f>
        <v>14</v>
      </c>
      <c r="N1644" s="111">
        <f>IF(M1644=0,0,(M1644/J1644))</f>
        <v>0.15384615384615385</v>
      </c>
    </row>
    <row r="1645" spans="2:14">
      <c r="B1645" s="73">
        <v>127672</v>
      </c>
      <c r="C1645" s="23" t="s">
        <v>2073</v>
      </c>
      <c r="D1645" s="123">
        <f>SUMIF(B$3:B$3844,B1645,M$3:M$3844)/(SUMIF(B$3:B$3844,B1645,J$3:J$3844))</f>
        <v>0.61815783688722792</v>
      </c>
      <c r="E1645" s="23">
        <v>16020590</v>
      </c>
      <c r="F1645" s="46" t="s">
        <v>2094</v>
      </c>
      <c r="G1645" s="23"/>
      <c r="H1645" s="23"/>
      <c r="I1645" s="41">
        <v>737</v>
      </c>
      <c r="J1645" s="41">
        <v>851</v>
      </c>
      <c r="K1645" s="118"/>
      <c r="L1645" s="119"/>
      <c r="M1645" s="110">
        <f>IF(L1645="",I1645,(MIN(J1645,(L1645*1.6*J1645))))</f>
        <v>737</v>
      </c>
      <c r="N1645" s="111">
        <f>IF(M1645=0,0,(M1645/J1645))</f>
        <v>0.86603995299647474</v>
      </c>
    </row>
    <row r="1646" spans="2:14">
      <c r="B1646" s="72">
        <v>127672</v>
      </c>
      <c r="C1646" s="47" t="s">
        <v>2073</v>
      </c>
      <c r="D1646" s="123">
        <f>SUMIF(B$3:B$3844,B1646,M$3:M$3844)/(SUMIF(B$3:B$3844,B1646,J$3:J$3844))</f>
        <v>0.61815783688722792</v>
      </c>
      <c r="E1646" s="47">
        <v>38761</v>
      </c>
      <c r="F1646" s="48" t="s">
        <v>2095</v>
      </c>
      <c r="G1646" s="47"/>
      <c r="H1646" s="47"/>
      <c r="I1646" s="40">
        <v>1099</v>
      </c>
      <c r="J1646" s="40">
        <v>1582</v>
      </c>
      <c r="K1646" s="118"/>
      <c r="L1646" s="119"/>
      <c r="M1646" s="110">
        <f>IF(L1646="",I1646,(MIN(J1646,(L1646*1.6*J1646))))</f>
        <v>1099</v>
      </c>
      <c r="N1646" s="111">
        <f>IF(M1646=0,0,(M1646/J1646))</f>
        <v>0.69469026548672563</v>
      </c>
    </row>
    <row r="1647" spans="2:14">
      <c r="B1647" s="73">
        <v>127672</v>
      </c>
      <c r="C1647" s="23" t="s">
        <v>2073</v>
      </c>
      <c r="D1647" s="123">
        <f>SUMIF(B$3:B$3844,B1647,M$3:M$3844)/(SUMIF(B$3:B$3844,B1647,J$3:J$3844))</f>
        <v>0.61815783688722792</v>
      </c>
      <c r="E1647" s="23">
        <v>208617</v>
      </c>
      <c r="F1647" s="46" t="s">
        <v>2096</v>
      </c>
      <c r="G1647" s="23"/>
      <c r="H1647" s="23"/>
      <c r="I1647" s="41">
        <v>447</v>
      </c>
      <c r="J1647" s="41">
        <v>1045</v>
      </c>
      <c r="K1647" s="118"/>
      <c r="L1647" s="119"/>
      <c r="M1647" s="110">
        <f>IF(L1647="",I1647,(MIN(J1647,(L1647*1.6*J1647))))</f>
        <v>447</v>
      </c>
      <c r="N1647" s="111">
        <f>IF(M1647=0,0,(M1647/J1647))</f>
        <v>0.42775119617224883</v>
      </c>
    </row>
    <row r="1648" spans="2:14">
      <c r="B1648" s="72">
        <v>127672</v>
      </c>
      <c r="C1648" s="47" t="s">
        <v>2073</v>
      </c>
      <c r="D1648" s="123">
        <f>SUMIF(B$3:B$3844,B1648,M$3:M$3844)/(SUMIF(B$3:B$3844,B1648,J$3:J$3844))</f>
        <v>0.61815783688722792</v>
      </c>
      <c r="E1648" s="47">
        <v>38765</v>
      </c>
      <c r="F1648" s="48" t="s">
        <v>2097</v>
      </c>
      <c r="G1648" s="47"/>
      <c r="H1648" s="47"/>
      <c r="I1648" s="40">
        <v>737</v>
      </c>
      <c r="J1648" s="40">
        <v>871</v>
      </c>
      <c r="K1648" s="118"/>
      <c r="L1648" s="119"/>
      <c r="M1648" s="110">
        <f>IF(L1648="",I1648,(MIN(J1648,(L1648*1.6*J1648))))</f>
        <v>737</v>
      </c>
      <c r="N1648" s="111">
        <f>IF(M1648=0,0,(M1648/J1648))</f>
        <v>0.84615384615384615</v>
      </c>
    </row>
    <row r="1649" spans="2:14" ht="30">
      <c r="B1649" s="73">
        <v>127672</v>
      </c>
      <c r="C1649" s="23" t="s">
        <v>2073</v>
      </c>
      <c r="D1649" s="123">
        <f>SUMIF(B$3:B$3844,B1649,M$3:M$3844)/(SUMIF(B$3:B$3844,B1649,J$3:J$3844))</f>
        <v>0.61815783688722792</v>
      </c>
      <c r="E1649" s="23">
        <v>38723</v>
      </c>
      <c r="F1649" s="46" t="s">
        <v>2098</v>
      </c>
      <c r="G1649" s="23"/>
      <c r="H1649" s="23"/>
      <c r="I1649" s="41">
        <v>597</v>
      </c>
      <c r="J1649" s="41">
        <v>1055</v>
      </c>
      <c r="K1649" s="118"/>
      <c r="L1649" s="119"/>
      <c r="M1649" s="110">
        <f>IF(L1649="",I1649,(MIN(J1649,(L1649*1.6*J1649))))</f>
        <v>597</v>
      </c>
      <c r="N1649" s="111">
        <f>IF(M1649=0,0,(M1649/J1649))</f>
        <v>0.56587677725118479</v>
      </c>
    </row>
    <row r="1650" spans="2:14">
      <c r="B1650" s="72">
        <v>127672</v>
      </c>
      <c r="C1650" s="47" t="s">
        <v>2073</v>
      </c>
      <c r="D1650" s="123">
        <f>SUMIF(B$3:B$3844,B1650,M$3:M$3844)/(SUMIF(B$3:B$3844,B1650,J$3:J$3844))</f>
        <v>0.61815783688722792</v>
      </c>
      <c r="E1650" s="47">
        <v>35900</v>
      </c>
      <c r="F1650" s="48" t="s">
        <v>2099</v>
      </c>
      <c r="G1650" s="47"/>
      <c r="H1650" s="47"/>
      <c r="I1650" s="40">
        <v>511</v>
      </c>
      <c r="J1650" s="40">
        <v>1022</v>
      </c>
      <c r="K1650" s="118"/>
      <c r="L1650" s="119"/>
      <c r="M1650" s="110">
        <f>IF(L1650="",I1650,(MIN(J1650,(L1650*1.6*J1650))))</f>
        <v>511</v>
      </c>
      <c r="N1650" s="111">
        <f>IF(M1650=0,0,(M1650/J1650))</f>
        <v>0.5</v>
      </c>
    </row>
    <row r="1651" spans="2:14">
      <c r="B1651" s="73">
        <v>127672</v>
      </c>
      <c r="C1651" s="23" t="s">
        <v>2073</v>
      </c>
      <c r="D1651" s="123">
        <f>SUMIF(B$3:B$3844,B1651,M$3:M$3844)/(SUMIF(B$3:B$3844,B1651,J$3:J$3844))</f>
        <v>0.61815783688722792</v>
      </c>
      <c r="E1651" s="23">
        <v>35899</v>
      </c>
      <c r="F1651" s="46" t="s">
        <v>2100</v>
      </c>
      <c r="G1651" s="23"/>
      <c r="H1651" s="23"/>
      <c r="I1651" s="41">
        <v>437</v>
      </c>
      <c r="J1651" s="41">
        <v>796</v>
      </c>
      <c r="K1651" s="118"/>
      <c r="L1651" s="119"/>
      <c r="M1651" s="110">
        <f>IF(L1651="",I1651,(MIN(J1651,(L1651*1.6*J1651))))</f>
        <v>437</v>
      </c>
      <c r="N1651" s="111">
        <f>IF(M1651=0,0,(M1651/J1651))</f>
        <v>0.54899497487437188</v>
      </c>
    </row>
    <row r="1652" spans="2:14">
      <c r="B1652" s="72">
        <v>127672</v>
      </c>
      <c r="C1652" s="47" t="s">
        <v>2073</v>
      </c>
      <c r="D1652" s="123">
        <f>SUMIF(B$3:B$3844,B1652,M$3:M$3844)/(SUMIF(B$3:B$3844,B1652,J$3:J$3844))</f>
        <v>0.61815783688722792</v>
      </c>
      <c r="E1652" s="47">
        <v>38763</v>
      </c>
      <c r="F1652" s="48" t="s">
        <v>2101</v>
      </c>
      <c r="G1652" s="47"/>
      <c r="H1652" s="47"/>
      <c r="I1652" s="40">
        <v>423</v>
      </c>
      <c r="J1652" s="40">
        <v>493</v>
      </c>
      <c r="K1652" s="118"/>
      <c r="L1652" s="119"/>
      <c r="M1652" s="110">
        <f>IF(L1652="",I1652,(MIN(J1652,(L1652*1.6*J1652))))</f>
        <v>423</v>
      </c>
      <c r="N1652" s="111">
        <f>IF(M1652=0,0,(M1652/J1652))</f>
        <v>0.85801217038539557</v>
      </c>
    </row>
    <row r="1653" spans="2:14">
      <c r="B1653" s="73">
        <v>127672</v>
      </c>
      <c r="C1653" s="23" t="s">
        <v>2073</v>
      </c>
      <c r="D1653" s="123">
        <f>SUMIF(B$3:B$3844,B1653,M$3:M$3844)/(SUMIF(B$3:B$3844,B1653,J$3:J$3844))</f>
        <v>0.61815783688722792</v>
      </c>
      <c r="E1653" s="23">
        <v>12167512</v>
      </c>
      <c r="F1653" s="46" t="s">
        <v>2102</v>
      </c>
      <c r="G1653" s="23"/>
      <c r="H1653" s="23"/>
      <c r="I1653" s="41">
        <v>433</v>
      </c>
      <c r="J1653" s="41">
        <v>876</v>
      </c>
      <c r="K1653" s="118"/>
      <c r="L1653" s="119"/>
      <c r="M1653" s="110">
        <f>IF(L1653="",I1653,(MIN(J1653,(L1653*1.6*J1653))))</f>
        <v>433</v>
      </c>
      <c r="N1653" s="111">
        <f>IF(M1653=0,0,(M1653/J1653))</f>
        <v>0.49429223744292239</v>
      </c>
    </row>
    <row r="1654" spans="2:14">
      <c r="B1654" s="72">
        <v>127672</v>
      </c>
      <c r="C1654" s="47" t="s">
        <v>2073</v>
      </c>
      <c r="D1654" s="123">
        <f>SUMIF(B$3:B$3844,B1654,M$3:M$3844)/(SUMIF(B$3:B$3844,B1654,J$3:J$3844))</f>
        <v>0.61815783688722792</v>
      </c>
      <c r="E1654" s="47">
        <v>38764</v>
      </c>
      <c r="F1654" s="48" t="s">
        <v>2103</v>
      </c>
      <c r="G1654" s="47"/>
      <c r="H1654" s="47"/>
      <c r="I1654" s="40">
        <v>199</v>
      </c>
      <c r="J1654" s="40">
        <v>227</v>
      </c>
      <c r="K1654" s="118"/>
      <c r="L1654" s="119"/>
      <c r="M1654" s="110">
        <f>IF(L1654="",I1654,(MIN(J1654,(L1654*1.6*J1654))))</f>
        <v>199</v>
      </c>
      <c r="N1654" s="111">
        <f>IF(M1654=0,0,(M1654/J1654))</f>
        <v>0.87665198237885467</v>
      </c>
    </row>
    <row r="1655" spans="2:14">
      <c r="B1655" s="73">
        <v>127672</v>
      </c>
      <c r="C1655" s="23" t="s">
        <v>2073</v>
      </c>
      <c r="D1655" s="123">
        <f>SUMIF(B$3:B$3844,B1655,M$3:M$3844)/(SUMIF(B$3:B$3844,B1655,J$3:J$3844))</f>
        <v>0.61815783688722792</v>
      </c>
      <c r="E1655" s="23">
        <v>216322</v>
      </c>
      <c r="F1655" s="46" t="s">
        <v>2104</v>
      </c>
      <c r="G1655" s="23"/>
      <c r="H1655" s="23"/>
      <c r="I1655" s="41">
        <v>462</v>
      </c>
      <c r="J1655" s="41">
        <v>931</v>
      </c>
      <c r="K1655" s="118"/>
      <c r="L1655" s="119"/>
      <c r="M1655" s="110">
        <f>IF(L1655="",I1655,(MIN(J1655,(L1655*1.6*J1655))))</f>
        <v>462</v>
      </c>
      <c r="N1655" s="111">
        <f>IF(M1655=0,0,(M1655/J1655))</f>
        <v>0.49624060150375937</v>
      </c>
    </row>
    <row r="1656" spans="2:14">
      <c r="B1656" s="72">
        <v>127672</v>
      </c>
      <c r="C1656" s="47" t="s">
        <v>2073</v>
      </c>
      <c r="D1656" s="123">
        <f>SUMIF(B$3:B$3844,B1656,M$3:M$3844)/(SUMIF(B$3:B$3844,B1656,J$3:J$3844))</f>
        <v>0.61815783688722792</v>
      </c>
      <c r="E1656" s="47">
        <v>16044395</v>
      </c>
      <c r="F1656" s="48" t="s">
        <v>2105</v>
      </c>
      <c r="G1656" s="47"/>
      <c r="H1656" s="47"/>
      <c r="I1656" s="40">
        <v>981</v>
      </c>
      <c r="J1656" s="40">
        <v>1302</v>
      </c>
      <c r="K1656" s="118"/>
      <c r="L1656" s="119"/>
      <c r="M1656" s="110">
        <f>IF(L1656="",I1656,(MIN(J1656,(L1656*1.6*J1656))))</f>
        <v>981</v>
      </c>
      <c r="N1656" s="111">
        <f>IF(M1656=0,0,(M1656/J1656))</f>
        <v>0.75345622119815669</v>
      </c>
    </row>
    <row r="1657" spans="2:14">
      <c r="B1657" s="73">
        <v>127672</v>
      </c>
      <c r="C1657" s="23" t="s">
        <v>2073</v>
      </c>
      <c r="D1657" s="123">
        <f>SUMIF(B$3:B$3844,B1657,M$3:M$3844)/(SUMIF(B$3:B$3844,B1657,J$3:J$3844))</f>
        <v>0.61815783688722792</v>
      </c>
      <c r="E1657" s="23">
        <v>35864</v>
      </c>
      <c r="F1657" s="46" t="s">
        <v>2106</v>
      </c>
      <c r="G1657" s="23"/>
      <c r="H1657" s="23"/>
      <c r="I1657" s="41">
        <v>357</v>
      </c>
      <c r="J1657" s="41">
        <v>546</v>
      </c>
      <c r="K1657" s="118"/>
      <c r="L1657" s="119"/>
      <c r="M1657" s="110">
        <f>IF(L1657="",I1657,(MIN(J1657,(L1657*1.6*J1657))))</f>
        <v>357</v>
      </c>
      <c r="N1657" s="111">
        <f>IF(M1657=0,0,(M1657/J1657))</f>
        <v>0.65384615384615385</v>
      </c>
    </row>
    <row r="1658" spans="2:14">
      <c r="B1658" s="72">
        <v>127672</v>
      </c>
      <c r="C1658" s="47" t="s">
        <v>2073</v>
      </c>
      <c r="D1658" s="123">
        <f>SUMIF(B$3:B$3844,B1658,M$3:M$3844)/(SUMIF(B$3:B$3844,B1658,J$3:J$3844))</f>
        <v>0.61815783688722792</v>
      </c>
      <c r="E1658" s="47">
        <v>16066727</v>
      </c>
      <c r="F1658" s="48" t="s">
        <v>2107</v>
      </c>
      <c r="G1658" s="47"/>
      <c r="H1658" s="47"/>
      <c r="I1658" s="40">
        <v>460</v>
      </c>
      <c r="J1658" s="40">
        <v>792</v>
      </c>
      <c r="K1658" s="118"/>
      <c r="L1658" s="119"/>
      <c r="M1658" s="110">
        <f>IF(L1658="",I1658,(MIN(J1658,(L1658*1.6*J1658))))</f>
        <v>460</v>
      </c>
      <c r="N1658" s="111">
        <f>IF(M1658=0,0,(M1658/J1658))</f>
        <v>0.58080808080808077</v>
      </c>
    </row>
    <row r="1659" spans="2:14">
      <c r="B1659" s="73">
        <v>127672</v>
      </c>
      <c r="C1659" s="23" t="s">
        <v>2073</v>
      </c>
      <c r="D1659" s="123">
        <f>SUMIF(B$3:B$3844,B1659,M$3:M$3844)/(SUMIF(B$3:B$3844,B1659,J$3:J$3844))</f>
        <v>0.61815783688722792</v>
      </c>
      <c r="E1659" s="23">
        <v>38727</v>
      </c>
      <c r="F1659" s="46" t="s">
        <v>2108</v>
      </c>
      <c r="G1659" s="23"/>
      <c r="H1659" s="23"/>
      <c r="I1659" s="41">
        <v>950</v>
      </c>
      <c r="J1659" s="41">
        <v>1828</v>
      </c>
      <c r="K1659" s="118"/>
      <c r="L1659" s="119"/>
      <c r="M1659" s="110">
        <f>IF(L1659="",I1659,(MIN(J1659,(L1659*1.6*J1659))))</f>
        <v>950</v>
      </c>
      <c r="N1659" s="111">
        <f>IF(M1659=0,0,(M1659/J1659))</f>
        <v>0.51969365426695846</v>
      </c>
    </row>
    <row r="1660" spans="2:14">
      <c r="B1660" s="72">
        <v>127672</v>
      </c>
      <c r="C1660" s="47" t="s">
        <v>2073</v>
      </c>
      <c r="D1660" s="123">
        <f>SUMIF(B$3:B$3844,B1660,M$3:M$3844)/(SUMIF(B$3:B$3844,B1660,J$3:J$3844))</f>
        <v>0.61815783688722792</v>
      </c>
      <c r="E1660" s="47">
        <v>35917</v>
      </c>
      <c r="F1660" s="48" t="s">
        <v>2109</v>
      </c>
      <c r="G1660" s="47"/>
      <c r="H1660" s="47"/>
      <c r="I1660" s="40">
        <v>509</v>
      </c>
      <c r="J1660" s="40">
        <v>595</v>
      </c>
      <c r="K1660" s="118"/>
      <c r="L1660" s="119"/>
      <c r="M1660" s="110">
        <f>IF(L1660="",I1660,(MIN(J1660,(L1660*1.6*J1660))))</f>
        <v>509</v>
      </c>
      <c r="N1660" s="111">
        <f>IF(M1660=0,0,(M1660/J1660))</f>
        <v>0.85546218487394954</v>
      </c>
    </row>
    <row r="1661" spans="2:14">
      <c r="B1661" s="73">
        <v>127672</v>
      </c>
      <c r="C1661" s="23" t="s">
        <v>2073</v>
      </c>
      <c r="D1661" s="123">
        <f>SUMIF(B$3:B$3844,B1661,M$3:M$3844)/(SUMIF(B$3:B$3844,B1661,J$3:J$3844))</f>
        <v>0.61815783688722792</v>
      </c>
      <c r="E1661" s="23">
        <v>35941</v>
      </c>
      <c r="F1661" s="46" t="s">
        <v>2110</v>
      </c>
      <c r="G1661" s="23"/>
      <c r="H1661" s="23"/>
      <c r="I1661" s="41">
        <v>641</v>
      </c>
      <c r="J1661" s="41">
        <v>888</v>
      </c>
      <c r="K1661" s="118"/>
      <c r="L1661" s="119"/>
      <c r="M1661" s="110">
        <f>IF(L1661="",I1661,(MIN(J1661,(L1661*1.6*J1661))))</f>
        <v>641</v>
      </c>
      <c r="N1661" s="111">
        <f>IF(M1661=0,0,(M1661/J1661))</f>
        <v>0.72184684684684686</v>
      </c>
    </row>
    <row r="1662" spans="2:14">
      <c r="B1662" s="72">
        <v>127672</v>
      </c>
      <c r="C1662" s="47" t="s">
        <v>2073</v>
      </c>
      <c r="D1662" s="123">
        <f>SUMIF(B$3:B$3844,B1662,M$3:M$3844)/(SUMIF(B$3:B$3844,B1662,J$3:J$3844))</f>
        <v>0.61815783688722792</v>
      </c>
      <c r="E1662" s="47">
        <v>35940</v>
      </c>
      <c r="F1662" s="48" t="s">
        <v>2111</v>
      </c>
      <c r="G1662" s="47"/>
      <c r="H1662" s="47"/>
      <c r="I1662" s="40">
        <v>648</v>
      </c>
      <c r="J1662" s="40">
        <v>1301</v>
      </c>
      <c r="K1662" s="118"/>
      <c r="L1662" s="119"/>
      <c r="M1662" s="110">
        <f>IF(L1662="",I1662,(MIN(J1662,(L1662*1.6*J1662))))</f>
        <v>648</v>
      </c>
      <c r="N1662" s="111">
        <f>IF(M1662=0,0,(M1662/J1662))</f>
        <v>0.49807840122982322</v>
      </c>
    </row>
    <row r="1663" spans="2:14">
      <c r="B1663" s="73">
        <v>127672</v>
      </c>
      <c r="C1663" s="23" t="s">
        <v>2073</v>
      </c>
      <c r="D1663" s="123">
        <f>SUMIF(B$3:B$3844,B1663,M$3:M$3844)/(SUMIF(B$3:B$3844,B1663,J$3:J$3844))</f>
        <v>0.61815783688722792</v>
      </c>
      <c r="E1663" s="23">
        <v>35943</v>
      </c>
      <c r="F1663" s="46" t="s">
        <v>2112</v>
      </c>
      <c r="G1663" s="23"/>
      <c r="H1663" s="23"/>
      <c r="I1663" s="41">
        <v>669</v>
      </c>
      <c r="J1663" s="41">
        <v>1084</v>
      </c>
      <c r="K1663" s="118"/>
      <c r="L1663" s="119"/>
      <c r="M1663" s="110">
        <f>IF(L1663="",I1663,(MIN(J1663,(L1663*1.6*J1663))))</f>
        <v>669</v>
      </c>
      <c r="N1663" s="111">
        <f>IF(M1663=0,0,(M1663/J1663))</f>
        <v>0.61715867158671589</v>
      </c>
    </row>
    <row r="1664" spans="2:14">
      <c r="B1664" s="72">
        <v>127672</v>
      </c>
      <c r="C1664" s="47" t="s">
        <v>2073</v>
      </c>
      <c r="D1664" s="123">
        <f>SUMIF(B$3:B$3844,B1664,M$3:M$3844)/(SUMIF(B$3:B$3844,B1664,J$3:J$3844))</f>
        <v>0.61815783688722792</v>
      </c>
      <c r="E1664" s="47">
        <v>208616</v>
      </c>
      <c r="F1664" s="48" t="s">
        <v>2113</v>
      </c>
      <c r="G1664" s="47"/>
      <c r="H1664" s="47"/>
      <c r="I1664" s="40">
        <v>624</v>
      </c>
      <c r="J1664" s="40">
        <v>823</v>
      </c>
      <c r="K1664" s="118"/>
      <c r="L1664" s="119"/>
      <c r="M1664" s="110">
        <f>IF(L1664="",I1664,(MIN(J1664,(L1664*1.6*J1664))))</f>
        <v>624</v>
      </c>
      <c r="N1664" s="111">
        <f>IF(M1664=0,0,(M1664/J1664))</f>
        <v>0.75820170109356011</v>
      </c>
    </row>
    <row r="1665" spans="2:14">
      <c r="B1665" s="73">
        <v>127672</v>
      </c>
      <c r="C1665" s="23" t="s">
        <v>2073</v>
      </c>
      <c r="D1665" s="123">
        <f>SUMIF(B$3:B$3844,B1665,M$3:M$3844)/(SUMIF(B$3:B$3844,B1665,J$3:J$3844))</f>
        <v>0.61815783688722792</v>
      </c>
      <c r="E1665" s="23">
        <v>38798</v>
      </c>
      <c r="F1665" s="46" t="s">
        <v>2114</v>
      </c>
      <c r="G1665" s="23"/>
      <c r="H1665" s="23"/>
      <c r="I1665" s="41">
        <v>666</v>
      </c>
      <c r="J1665" s="41">
        <v>934</v>
      </c>
      <c r="K1665" s="118"/>
      <c r="L1665" s="119"/>
      <c r="M1665" s="110">
        <f>IF(L1665="",I1665,(MIN(J1665,(L1665*1.6*J1665))))</f>
        <v>666</v>
      </c>
      <c r="N1665" s="111">
        <f>IF(M1665=0,0,(M1665/J1665))</f>
        <v>0.71306209850107072</v>
      </c>
    </row>
    <row r="1666" spans="2:14">
      <c r="B1666" s="72">
        <v>127672</v>
      </c>
      <c r="C1666" s="47" t="s">
        <v>2073</v>
      </c>
      <c r="D1666" s="123">
        <f>SUMIF(B$3:B$3844,B1666,M$3:M$3844)/(SUMIF(B$3:B$3844,B1666,J$3:J$3844))</f>
        <v>0.61815783688722792</v>
      </c>
      <c r="E1666" s="47">
        <v>35898</v>
      </c>
      <c r="F1666" s="48" t="s">
        <v>2115</v>
      </c>
      <c r="G1666" s="47"/>
      <c r="H1666" s="47"/>
      <c r="I1666" s="40">
        <v>581</v>
      </c>
      <c r="J1666" s="40">
        <v>702</v>
      </c>
      <c r="K1666" s="118"/>
      <c r="L1666" s="119"/>
      <c r="M1666" s="110">
        <f>IF(L1666="",I1666,(MIN(J1666,(L1666*1.6*J1666))))</f>
        <v>581</v>
      </c>
      <c r="N1666" s="111">
        <f>IF(M1666=0,0,(M1666/J1666))</f>
        <v>0.82763532763532766</v>
      </c>
    </row>
    <row r="1667" spans="2:14">
      <c r="B1667" s="73">
        <v>127672</v>
      </c>
      <c r="C1667" s="23" t="s">
        <v>2073</v>
      </c>
      <c r="D1667" s="123">
        <f>SUMIF(B$3:B$3844,B1667,M$3:M$3844)/(SUMIF(B$3:B$3844,B1667,J$3:J$3844))</f>
        <v>0.61815783688722792</v>
      </c>
      <c r="E1667" s="23">
        <v>35958</v>
      </c>
      <c r="F1667" s="46" t="s">
        <v>2116</v>
      </c>
      <c r="G1667" s="23"/>
      <c r="H1667" s="23"/>
      <c r="I1667" s="41">
        <v>482</v>
      </c>
      <c r="J1667" s="41">
        <v>644</v>
      </c>
      <c r="K1667" s="118"/>
      <c r="L1667" s="119"/>
      <c r="M1667" s="110">
        <f>IF(L1667="",I1667,(MIN(J1667,(L1667*1.6*J1667))))</f>
        <v>482</v>
      </c>
      <c r="N1667" s="111">
        <f>IF(M1667=0,0,(M1667/J1667))</f>
        <v>0.74844720496894412</v>
      </c>
    </row>
    <row r="1668" spans="2:14">
      <c r="B1668" s="72">
        <v>127672</v>
      </c>
      <c r="C1668" s="47" t="s">
        <v>2073</v>
      </c>
      <c r="D1668" s="123">
        <f>SUMIF(B$3:B$3844,B1668,M$3:M$3844)/(SUMIF(B$3:B$3844,B1668,J$3:J$3844))</f>
        <v>0.61815783688722792</v>
      </c>
      <c r="E1668" s="47">
        <v>35960</v>
      </c>
      <c r="F1668" s="48" t="s">
        <v>2117</v>
      </c>
      <c r="G1668" s="47"/>
      <c r="H1668" s="47"/>
      <c r="I1668" s="40">
        <v>529</v>
      </c>
      <c r="J1668" s="40">
        <v>857</v>
      </c>
      <c r="K1668" s="118"/>
      <c r="L1668" s="119"/>
      <c r="M1668" s="110">
        <f>IF(L1668="",I1668,(MIN(J1668,(L1668*1.6*J1668))))</f>
        <v>529</v>
      </c>
      <c r="N1668" s="111">
        <f>IF(M1668=0,0,(M1668/J1668))</f>
        <v>0.61726954492415398</v>
      </c>
    </row>
    <row r="1669" spans="2:14">
      <c r="B1669" s="73">
        <v>127672</v>
      </c>
      <c r="C1669" s="23" t="s">
        <v>2073</v>
      </c>
      <c r="D1669" s="123">
        <f>SUMIF(B$3:B$3844,B1669,M$3:M$3844)/(SUMIF(B$3:B$3844,B1669,J$3:J$3844))</f>
        <v>0.61815783688722792</v>
      </c>
      <c r="E1669" s="23">
        <v>35961</v>
      </c>
      <c r="F1669" s="46" t="s">
        <v>2118</v>
      </c>
      <c r="G1669" s="23"/>
      <c r="H1669" s="23"/>
      <c r="I1669" s="41">
        <v>418</v>
      </c>
      <c r="J1669" s="41">
        <v>563</v>
      </c>
      <c r="K1669" s="118"/>
      <c r="L1669" s="119"/>
      <c r="M1669" s="110">
        <f>IF(L1669="",I1669,(MIN(J1669,(L1669*1.6*J1669))))</f>
        <v>418</v>
      </c>
      <c r="N1669" s="111">
        <f>IF(M1669=0,0,(M1669/J1669))</f>
        <v>0.74245115452930732</v>
      </c>
    </row>
    <row r="1670" spans="2:14">
      <c r="B1670" s="72">
        <v>127672</v>
      </c>
      <c r="C1670" s="47" t="s">
        <v>2073</v>
      </c>
      <c r="D1670" s="123">
        <f>SUMIF(B$3:B$3844,B1670,M$3:M$3844)/(SUMIF(B$3:B$3844,B1670,J$3:J$3844))</f>
        <v>0.61815783688722792</v>
      </c>
      <c r="E1670" s="47">
        <v>208615</v>
      </c>
      <c r="F1670" s="48" t="s">
        <v>2119</v>
      </c>
      <c r="G1670" s="47"/>
      <c r="H1670" s="47"/>
      <c r="I1670" s="40">
        <v>687</v>
      </c>
      <c r="J1670" s="40">
        <v>1301</v>
      </c>
      <c r="K1670" s="118"/>
      <c r="L1670" s="119"/>
      <c r="M1670" s="110">
        <f>IF(L1670="",I1670,(MIN(J1670,(L1670*1.6*J1670))))</f>
        <v>687</v>
      </c>
      <c r="N1670" s="111">
        <f>IF(M1670=0,0,(M1670/J1670))</f>
        <v>0.52805534204458104</v>
      </c>
    </row>
    <row r="1671" spans="2:14">
      <c r="B1671" s="73">
        <v>127832</v>
      </c>
      <c r="C1671" s="23" t="str">
        <f>"LEE"</f>
        <v>LEE</v>
      </c>
      <c r="D1671" s="123">
        <f>SUMIF(B$3:B$3844,B1671,M$3:M$3844)/(SUMIF(B$3:B$3844,B1671,J$3:J$3844))</f>
        <v>0.92942971581155831</v>
      </c>
      <c r="E1671" s="23">
        <v>38199</v>
      </c>
      <c r="F1671" s="46" t="str">
        <f>"ALLEN PARK ELEMENTARY SCHOOL"</f>
        <v>ALLEN PARK ELEMENTARY SCHOOL</v>
      </c>
      <c r="G1671" s="23"/>
      <c r="H1671" s="23"/>
      <c r="I1671" s="41"/>
      <c r="J1671" s="41">
        <v>936</v>
      </c>
      <c r="K1671" s="20">
        <v>2015</v>
      </c>
      <c r="L1671" s="24">
        <v>45.72</v>
      </c>
      <c r="M1671" s="110">
        <f>IF(L1671="",I1671,(MIN(J1671,(L1671*1.6*J1671))))</f>
        <v>936</v>
      </c>
      <c r="N1671" s="111">
        <f>IF(M1671=0,0,(M1671/J1671))</f>
        <v>1</v>
      </c>
    </row>
    <row r="1672" spans="2:14">
      <c r="B1672" s="72">
        <v>127832</v>
      </c>
      <c r="C1672" s="47" t="str">
        <f>"LEE"</f>
        <v>LEE</v>
      </c>
      <c r="D1672" s="123">
        <f>SUMIF(B$3:B$3844,B1672,M$3:M$3844)/(SUMIF(B$3:B$3844,B1672,J$3:J$3844))</f>
        <v>0.92942971581155831</v>
      </c>
      <c r="E1672" s="47">
        <v>171516</v>
      </c>
      <c r="F1672" s="48" t="s">
        <v>1588</v>
      </c>
      <c r="G1672" s="47"/>
      <c r="H1672" s="47"/>
      <c r="I1672" s="40"/>
      <c r="J1672" s="40">
        <v>126</v>
      </c>
      <c r="K1672" s="20">
        <v>2015</v>
      </c>
      <c r="L1672" s="24">
        <v>78.569999999999993</v>
      </c>
      <c r="M1672" s="110">
        <f>IF(L1672="",I1672,(MIN(J1672,(L1672*1.6*J1672))))</f>
        <v>126</v>
      </c>
      <c r="N1672" s="111">
        <f>IF(M1672=0,0,(M1672/J1672))</f>
        <v>1</v>
      </c>
    </row>
    <row r="1673" spans="2:14">
      <c r="B1673" s="73">
        <v>127832</v>
      </c>
      <c r="C1673" s="23" t="str">
        <f>"LEE"</f>
        <v>LEE</v>
      </c>
      <c r="D1673" s="123">
        <f>SUMIF(B$3:B$3844,B1673,M$3:M$3844)/(SUMIF(B$3:B$3844,B1673,J$3:J$3844))</f>
        <v>0.92942971581155831</v>
      </c>
      <c r="E1673" s="23">
        <v>16068505</v>
      </c>
      <c r="F1673" s="46" t="s">
        <v>1589</v>
      </c>
      <c r="G1673" s="23"/>
      <c r="H1673" s="23"/>
      <c r="I1673" s="41"/>
      <c r="J1673" s="41">
        <v>40</v>
      </c>
      <c r="K1673" s="20">
        <v>2015</v>
      </c>
      <c r="L1673" s="24">
        <v>65</v>
      </c>
      <c r="M1673" s="110">
        <f>IF(L1673="",I1673,(MIN(J1673,(L1673*1.6*J1673))))</f>
        <v>40</v>
      </c>
      <c r="N1673" s="111">
        <f>IF(M1673=0,0,(M1673/J1673))</f>
        <v>1</v>
      </c>
    </row>
    <row r="1674" spans="2:14">
      <c r="B1674" s="72">
        <v>127832</v>
      </c>
      <c r="C1674" s="47" t="str">
        <f>"LEE"</f>
        <v>LEE</v>
      </c>
      <c r="D1674" s="123">
        <f>SUMIF(B$3:B$3844,B1674,M$3:M$3844)/(SUMIF(B$3:B$3844,B1674,J$3:J$3844))</f>
        <v>0.92942971581155831</v>
      </c>
      <c r="E1674" s="47">
        <v>38265</v>
      </c>
      <c r="F1674" s="48" t="str">
        <f>"BAYSHORE ELEMENTARY SCHOOL"</f>
        <v>BAYSHORE ELEMENTARY SCHOOL</v>
      </c>
      <c r="G1674" s="47"/>
      <c r="H1674" s="47"/>
      <c r="I1674" s="40"/>
      <c r="J1674" s="40">
        <v>597</v>
      </c>
      <c r="K1674" s="20">
        <v>2015</v>
      </c>
      <c r="L1674" s="24">
        <v>55.77</v>
      </c>
      <c r="M1674" s="110">
        <f>IF(L1674="",I1674,(MIN(J1674,(L1674*1.6*J1674))))</f>
        <v>597</v>
      </c>
      <c r="N1674" s="111">
        <f>IF(M1674=0,0,(M1674/J1674))</f>
        <v>1</v>
      </c>
    </row>
    <row r="1675" spans="2:14">
      <c r="B1675" s="73">
        <v>127832</v>
      </c>
      <c r="C1675" s="23" t="str">
        <f>"LEE"</f>
        <v>LEE</v>
      </c>
      <c r="D1675" s="123">
        <f>SUMIF(B$3:B$3844,B1675,M$3:M$3844)/(SUMIF(B$3:B$3844,B1675,J$3:J$3844))</f>
        <v>0.92942971581155831</v>
      </c>
      <c r="E1675" s="23">
        <v>38378</v>
      </c>
      <c r="F1675" s="46" t="s">
        <v>1590</v>
      </c>
      <c r="G1675" s="23"/>
      <c r="H1675" s="23"/>
      <c r="I1675" s="41"/>
      <c r="J1675" s="41">
        <v>487</v>
      </c>
      <c r="K1675" s="20">
        <v>2015</v>
      </c>
      <c r="L1675" s="24">
        <v>82.34</v>
      </c>
      <c r="M1675" s="110">
        <f>IF(L1675="",I1675,(MIN(J1675,(L1675*1.6*J1675))))</f>
        <v>487</v>
      </c>
      <c r="N1675" s="111">
        <f>IF(M1675=0,0,(M1675/J1675))</f>
        <v>1</v>
      </c>
    </row>
    <row r="1676" spans="2:14">
      <c r="B1676" s="72">
        <v>127832</v>
      </c>
      <c r="C1676" s="47" t="str">
        <f>"LEE"</f>
        <v>LEE</v>
      </c>
      <c r="D1676" s="123">
        <f>SUMIF(B$3:B$3844,B1676,M$3:M$3844)/(SUMIF(B$3:B$3844,B1676,J$3:J$3844))</f>
        <v>0.92942971581155831</v>
      </c>
      <c r="E1676" s="47">
        <v>38376</v>
      </c>
      <c r="F1676" s="48" t="s">
        <v>1591</v>
      </c>
      <c r="G1676" s="47"/>
      <c r="H1676" s="47"/>
      <c r="I1676" s="40"/>
      <c r="J1676" s="40">
        <v>860</v>
      </c>
      <c r="K1676" s="20">
        <v>2015</v>
      </c>
      <c r="L1676" s="24">
        <v>51.62</v>
      </c>
      <c r="M1676" s="110">
        <f>IF(L1676="",I1676,(MIN(J1676,(L1676*1.6*J1676))))</f>
        <v>860</v>
      </c>
      <c r="N1676" s="111">
        <f>IF(M1676=0,0,(M1676/J1676))</f>
        <v>1</v>
      </c>
    </row>
    <row r="1677" spans="2:14">
      <c r="B1677" s="73">
        <v>127832</v>
      </c>
      <c r="C1677" s="23" t="str">
        <f>"LEE"</f>
        <v>LEE</v>
      </c>
      <c r="D1677" s="123">
        <f>SUMIF(B$3:B$3844,B1677,M$3:M$3844)/(SUMIF(B$3:B$3844,B1677,J$3:J$3844))</f>
        <v>0.92942971581155831</v>
      </c>
      <c r="E1677" s="23">
        <v>38227</v>
      </c>
      <c r="F1677" s="46" t="s">
        <v>1592</v>
      </c>
      <c r="G1677" s="23"/>
      <c r="H1677" s="23"/>
      <c r="I1677" s="41"/>
      <c r="J1677" s="41">
        <v>93</v>
      </c>
      <c r="K1677" s="20">
        <v>2015</v>
      </c>
      <c r="L1677" s="24">
        <v>58.06</v>
      </c>
      <c r="M1677" s="110">
        <f>IF(L1677="",I1677,(MIN(J1677,(L1677*1.6*J1677))))</f>
        <v>93</v>
      </c>
      <c r="N1677" s="111">
        <f>IF(M1677=0,0,(M1677/J1677))</f>
        <v>1</v>
      </c>
    </row>
    <row r="1678" spans="2:14">
      <c r="B1678" s="72">
        <v>127832</v>
      </c>
      <c r="C1678" s="47" t="str">
        <f>"LEE"</f>
        <v>LEE</v>
      </c>
      <c r="D1678" s="123">
        <f>SUMIF(B$3:B$3844,B1678,M$3:M$3844)/(SUMIF(B$3:B$3844,B1678,J$3:J$3844))</f>
        <v>0.92942971581155831</v>
      </c>
      <c r="E1678" s="47">
        <v>38329</v>
      </c>
      <c r="F1678" s="48" t="str">
        <f>"CALOOSA ELEMENTARY SCHOOL"</f>
        <v>CALOOSA ELEMENTARY SCHOOL</v>
      </c>
      <c r="G1678" s="47"/>
      <c r="H1678" s="47"/>
      <c r="I1678" s="40"/>
      <c r="J1678" s="40">
        <v>914</v>
      </c>
      <c r="K1678" s="20">
        <v>2015</v>
      </c>
      <c r="L1678" s="24">
        <v>54.59</v>
      </c>
      <c r="M1678" s="110">
        <f>IF(L1678="",I1678,(MIN(J1678,(L1678*1.6*J1678))))</f>
        <v>914</v>
      </c>
      <c r="N1678" s="111">
        <f>IF(M1678=0,0,(M1678/J1678))</f>
        <v>1</v>
      </c>
    </row>
    <row r="1679" spans="2:14">
      <c r="B1679" s="73">
        <v>127832</v>
      </c>
      <c r="C1679" s="23" t="str">
        <f>"LEE"</f>
        <v>LEE</v>
      </c>
      <c r="D1679" s="123">
        <f>SUMIF(B$3:B$3844,B1679,M$3:M$3844)/(SUMIF(B$3:B$3844,B1679,J$3:J$3844))</f>
        <v>0.92942971581155831</v>
      </c>
      <c r="E1679" s="23">
        <v>38330</v>
      </c>
      <c r="F1679" s="46" t="str">
        <f>"CALOOSA MIDDLE SCHOOL"</f>
        <v>CALOOSA MIDDLE SCHOOL</v>
      </c>
      <c r="G1679" s="23"/>
      <c r="H1679" s="23"/>
      <c r="I1679" s="41"/>
      <c r="J1679" s="41">
        <v>880</v>
      </c>
      <c r="K1679" s="20">
        <v>2015</v>
      </c>
      <c r="L1679" s="24">
        <v>58.29</v>
      </c>
      <c r="M1679" s="110">
        <f>IF(L1679="",I1679,(MIN(J1679,(L1679*1.6*J1679))))</f>
        <v>880</v>
      </c>
      <c r="N1679" s="111">
        <f>IF(M1679=0,0,(M1679/J1679))</f>
        <v>1</v>
      </c>
    </row>
    <row r="1680" spans="2:14">
      <c r="B1680" s="72">
        <v>127832</v>
      </c>
      <c r="C1680" s="47" t="str">
        <f>"LEE"</f>
        <v>LEE</v>
      </c>
      <c r="D1680" s="123">
        <f>SUMIF(B$3:B$3844,B1680,M$3:M$3844)/(SUMIF(B$3:B$3844,B1680,J$3:J$3844))</f>
        <v>0.92942971581155831</v>
      </c>
      <c r="E1680" s="47">
        <v>38333</v>
      </c>
      <c r="F1680" s="48" t="str">
        <f>"CAPE CORAL HIGH SCHOOL"</f>
        <v>CAPE CORAL HIGH SCHOOL</v>
      </c>
      <c r="G1680" s="47"/>
      <c r="H1680" s="47"/>
      <c r="I1680" s="40"/>
      <c r="J1680" s="40">
        <v>1655</v>
      </c>
      <c r="K1680" s="20">
        <v>2015</v>
      </c>
      <c r="L1680" s="24">
        <v>41.02</v>
      </c>
      <c r="M1680" s="110">
        <f>IF(L1680="",I1680,(MIN(J1680,(L1680*1.6*J1680))))</f>
        <v>1655</v>
      </c>
      <c r="N1680" s="111">
        <f>IF(M1680=0,0,(M1680/J1680))</f>
        <v>1</v>
      </c>
    </row>
    <row r="1681" spans="2:14">
      <c r="B1681" s="73">
        <v>127832</v>
      </c>
      <c r="C1681" s="23" t="str">
        <f>"LEE"</f>
        <v>LEE</v>
      </c>
      <c r="D1681" s="123">
        <f>SUMIF(B$3:B$3844,B1681,M$3:M$3844)/(SUMIF(B$3:B$3844,B1681,J$3:J$3844))</f>
        <v>0.92942971581155831</v>
      </c>
      <c r="E1681" s="23">
        <v>16075195</v>
      </c>
      <c r="F1681" s="46" t="s">
        <v>1593</v>
      </c>
      <c r="G1681" s="23"/>
      <c r="H1681" s="23"/>
      <c r="I1681" s="41"/>
      <c r="J1681" s="41">
        <v>0</v>
      </c>
      <c r="K1681" s="20"/>
      <c r="L1681" s="24"/>
      <c r="M1681" s="110">
        <f>IF(L1681="",I1681,(MIN(J1681,(L1681*1.6*J1681))))</f>
        <v>0</v>
      </c>
      <c r="N1681" s="111">
        <f>IF(M1681=0,0,(M1681/J1681))</f>
        <v>0</v>
      </c>
    </row>
    <row r="1682" spans="2:14">
      <c r="B1682" s="72">
        <v>127832</v>
      </c>
      <c r="C1682" s="47" t="str">
        <f>"LEE"</f>
        <v>LEE</v>
      </c>
      <c r="D1682" s="123">
        <f>SUMIF(B$3:B$3844,B1682,M$3:M$3844)/(SUMIF(B$3:B$3844,B1682,J$3:J$3844))</f>
        <v>0.92942971581155831</v>
      </c>
      <c r="E1682" s="47">
        <v>38222</v>
      </c>
      <c r="F1682" s="48" t="str">
        <f>"CAPE ELEMENTARY SCHOOL"</f>
        <v>CAPE ELEMENTARY SCHOOL</v>
      </c>
      <c r="G1682" s="47"/>
      <c r="H1682" s="47"/>
      <c r="I1682" s="40"/>
      <c r="J1682" s="40">
        <v>732</v>
      </c>
      <c r="K1682" s="20">
        <v>2015</v>
      </c>
      <c r="L1682" s="24">
        <v>45.08</v>
      </c>
      <c r="M1682" s="110">
        <f>IF(L1682="",I1682,(MIN(J1682,(L1682*1.6*J1682))))</f>
        <v>732</v>
      </c>
      <c r="N1682" s="111">
        <f>IF(M1682=0,0,(M1682/J1682))</f>
        <v>1</v>
      </c>
    </row>
    <row r="1683" spans="2:14">
      <c r="B1683" s="73">
        <v>127832</v>
      </c>
      <c r="C1683" s="23" t="str">
        <f>"LEE"</f>
        <v>LEE</v>
      </c>
      <c r="D1683" s="123">
        <f>SUMIF(B$3:B$3844,B1683,M$3:M$3844)/(SUMIF(B$3:B$3844,B1683,J$3:J$3844))</f>
        <v>0.92942971581155831</v>
      </c>
      <c r="E1683" s="23">
        <v>16038562</v>
      </c>
      <c r="F1683" s="46" t="str">
        <f>"CHALLENGER MIDDLE SCHOOL"</f>
        <v>CHALLENGER MIDDLE SCHOOL</v>
      </c>
      <c r="G1683" s="23"/>
      <c r="H1683" s="23"/>
      <c r="I1683" s="41"/>
      <c r="J1683" s="41">
        <v>1058</v>
      </c>
      <c r="K1683" s="20">
        <v>2015</v>
      </c>
      <c r="L1683" s="24">
        <v>45.93</v>
      </c>
      <c r="M1683" s="110">
        <f>IF(L1683="",I1683,(MIN(J1683,(L1683*1.6*J1683))))</f>
        <v>1058</v>
      </c>
      <c r="N1683" s="111">
        <f>IF(M1683=0,0,(M1683/J1683))</f>
        <v>1</v>
      </c>
    </row>
    <row r="1684" spans="2:14">
      <c r="B1684" s="72">
        <v>127832</v>
      </c>
      <c r="C1684" s="47" t="str">
        <f>"LEE"</f>
        <v>LEE</v>
      </c>
      <c r="D1684" s="123">
        <f>SUMIF(B$3:B$3844,B1684,M$3:M$3844)/(SUMIF(B$3:B$3844,B1684,J$3:J$3844))</f>
        <v>0.92942971581155831</v>
      </c>
      <c r="E1684" s="47">
        <v>38261</v>
      </c>
      <c r="F1684" s="48" t="str">
        <f>"COLONIAL ELEMENTARY SCHOOL"</f>
        <v>COLONIAL ELEMENTARY SCHOOL</v>
      </c>
      <c r="G1684" s="47"/>
      <c r="H1684" s="47"/>
      <c r="I1684" s="40"/>
      <c r="J1684" s="40">
        <v>790</v>
      </c>
      <c r="K1684" s="20">
        <v>2015</v>
      </c>
      <c r="L1684" s="24">
        <v>84.43</v>
      </c>
      <c r="M1684" s="110">
        <f>IF(L1684="",I1684,(MIN(J1684,(L1684*1.6*J1684))))</f>
        <v>790</v>
      </c>
      <c r="N1684" s="111">
        <f>IF(M1684=0,0,(M1684/J1684))</f>
        <v>1</v>
      </c>
    </row>
    <row r="1685" spans="2:14">
      <c r="B1685" s="73">
        <v>127832</v>
      </c>
      <c r="C1685" s="23" t="str">
        <f>"LEE"</f>
        <v>LEE</v>
      </c>
      <c r="D1685" s="123">
        <f>SUMIF(B$3:B$3844,B1685,M$3:M$3844)/(SUMIF(B$3:B$3844,B1685,J$3:J$3844))</f>
        <v>0.92942971581155831</v>
      </c>
      <c r="E1685" s="23">
        <v>170444</v>
      </c>
      <c r="F1685" s="46" t="s">
        <v>1594</v>
      </c>
      <c r="G1685" s="23"/>
      <c r="H1685" s="23"/>
      <c r="I1685" s="41">
        <v>15</v>
      </c>
      <c r="J1685" s="41">
        <v>103</v>
      </c>
      <c r="K1685" s="20"/>
      <c r="L1685" s="24"/>
      <c r="M1685" s="110">
        <f>IF(L1685="",I1685,(MIN(J1685,(L1685*1.6*J1685))))</f>
        <v>15</v>
      </c>
      <c r="N1685" s="111">
        <f>IF(M1685=0,0,(M1685/J1685))</f>
        <v>0.14563106796116504</v>
      </c>
    </row>
    <row r="1686" spans="2:14">
      <c r="B1686" s="72">
        <v>127832</v>
      </c>
      <c r="C1686" s="47" t="str">
        <f>"LEE"</f>
        <v>LEE</v>
      </c>
      <c r="D1686" s="123">
        <f>SUMIF(B$3:B$3844,B1686,M$3:M$3844)/(SUMIF(B$3:B$3844,B1686,J$3:J$3844))</f>
        <v>0.92942971581155831</v>
      </c>
      <c r="E1686" s="47">
        <v>38275</v>
      </c>
      <c r="F1686" s="48" t="str">
        <f>"CYPRESS LAKE HIGH SCHOOL"</f>
        <v>CYPRESS LAKE HIGH SCHOOL</v>
      </c>
      <c r="G1686" s="47"/>
      <c r="H1686" s="47"/>
      <c r="I1686" s="40"/>
      <c r="J1686" s="40">
        <v>1614</v>
      </c>
      <c r="K1686" s="20">
        <v>2015</v>
      </c>
      <c r="L1686" s="24">
        <v>42.5</v>
      </c>
      <c r="M1686" s="110">
        <f>IF(L1686="",I1686,(MIN(J1686,(L1686*1.6*J1686))))</f>
        <v>1614</v>
      </c>
      <c r="N1686" s="111">
        <f>IF(M1686=0,0,(M1686/J1686))</f>
        <v>1</v>
      </c>
    </row>
    <row r="1687" spans="2:14">
      <c r="B1687" s="73">
        <v>127832</v>
      </c>
      <c r="C1687" s="23" t="str">
        <f>"LEE"</f>
        <v>LEE</v>
      </c>
      <c r="D1687" s="123">
        <f>SUMIF(B$3:B$3844,B1687,M$3:M$3844)/(SUMIF(B$3:B$3844,B1687,J$3:J$3844))</f>
        <v>0.92942971581155831</v>
      </c>
      <c r="E1687" s="23">
        <v>38272</v>
      </c>
      <c r="F1687" s="46" t="str">
        <f>"CYPRESS LAKE MIDDLE SCHOOL"</f>
        <v>CYPRESS LAKE MIDDLE SCHOOL</v>
      </c>
      <c r="G1687" s="23"/>
      <c r="H1687" s="23"/>
      <c r="I1687" s="41"/>
      <c r="J1687" s="41">
        <v>826</v>
      </c>
      <c r="K1687" s="20">
        <v>2015</v>
      </c>
      <c r="L1687" s="24">
        <v>36.799999999999997</v>
      </c>
      <c r="M1687" s="110">
        <f>IF(L1687="",I1687,(MIN(J1687,(L1687*1.6*J1687))))</f>
        <v>826</v>
      </c>
      <c r="N1687" s="111">
        <f>IF(M1687=0,0,(M1687/J1687))</f>
        <v>1</v>
      </c>
    </row>
    <row r="1688" spans="2:14">
      <c r="B1688" s="72">
        <v>127832</v>
      </c>
      <c r="C1688" s="47" t="str">
        <f>"LEE"</f>
        <v>LEE</v>
      </c>
      <c r="D1688" s="123">
        <f>SUMIF(B$3:B$3844,B1688,M$3:M$3844)/(SUMIF(B$3:B$3844,B1688,J$3:J$3844))</f>
        <v>0.92942971581155831</v>
      </c>
      <c r="E1688" s="47">
        <v>38240</v>
      </c>
      <c r="F1688" s="48" t="str">
        <f>"DIPLOMAT ELEMENTARY SCHOOL"</f>
        <v>DIPLOMAT ELEMENTARY SCHOOL</v>
      </c>
      <c r="G1688" s="47"/>
      <c r="H1688" s="47"/>
      <c r="I1688" s="40"/>
      <c r="J1688" s="40">
        <v>924</v>
      </c>
      <c r="K1688" s="20">
        <v>2015</v>
      </c>
      <c r="L1688" s="24">
        <v>49.89</v>
      </c>
      <c r="M1688" s="110">
        <f>IF(L1688="",I1688,(MIN(J1688,(L1688*1.6*J1688))))</f>
        <v>924</v>
      </c>
      <c r="N1688" s="111">
        <f>IF(M1688=0,0,(M1688/J1688))</f>
        <v>1</v>
      </c>
    </row>
    <row r="1689" spans="2:14">
      <c r="B1689" s="73">
        <v>127832</v>
      </c>
      <c r="C1689" s="23" t="str">
        <f>"LEE"</f>
        <v>LEE</v>
      </c>
      <c r="D1689" s="123">
        <f>SUMIF(B$3:B$3844,B1689,M$3:M$3844)/(SUMIF(B$3:B$3844,B1689,J$3:J$3844))</f>
        <v>0.92942971581155831</v>
      </c>
      <c r="E1689" s="23">
        <v>208357</v>
      </c>
      <c r="F1689" s="46" t="str">
        <f>"DIPLOMAT MIDDLE SCHOOL"</f>
        <v>DIPLOMAT MIDDLE SCHOOL</v>
      </c>
      <c r="G1689" s="23"/>
      <c r="H1689" s="23"/>
      <c r="I1689" s="41"/>
      <c r="J1689" s="41">
        <v>842</v>
      </c>
      <c r="K1689" s="20">
        <v>2015</v>
      </c>
      <c r="L1689" s="24">
        <v>50.11</v>
      </c>
      <c r="M1689" s="110">
        <f>IF(L1689="",I1689,(MIN(J1689,(L1689*1.6*J1689))))</f>
        <v>842</v>
      </c>
      <c r="N1689" s="111">
        <f>IF(M1689=0,0,(M1689/J1689))</f>
        <v>1</v>
      </c>
    </row>
    <row r="1690" spans="2:14" ht="30">
      <c r="B1690" s="72">
        <v>127832</v>
      </c>
      <c r="C1690" s="47" t="str">
        <f>"LEE"</f>
        <v>LEE</v>
      </c>
      <c r="D1690" s="123">
        <f>SUMIF(B$3:B$3844,B1690,M$3:M$3844)/(SUMIF(B$3:B$3844,B1690,J$3:J$3844))</f>
        <v>0.92942971581155831</v>
      </c>
      <c r="E1690" s="47">
        <v>169456</v>
      </c>
      <c r="F1690" s="48" t="s">
        <v>1595</v>
      </c>
      <c r="G1690" s="47"/>
      <c r="H1690" s="47"/>
      <c r="I1690" s="40"/>
      <c r="J1690" s="40">
        <v>546</v>
      </c>
      <c r="K1690" s="20">
        <v>2015</v>
      </c>
      <c r="L1690" s="24">
        <v>68.680000000000007</v>
      </c>
      <c r="M1690" s="110">
        <f>IF(L1690="",I1690,(MIN(J1690,(L1690*1.6*J1690))))</f>
        <v>546</v>
      </c>
      <c r="N1690" s="111">
        <f>IF(M1690=0,0,(M1690/J1690))</f>
        <v>1</v>
      </c>
    </row>
    <row r="1691" spans="2:14">
      <c r="B1691" s="73">
        <v>127832</v>
      </c>
      <c r="C1691" s="23" t="str">
        <f>"LEE"</f>
        <v>LEE</v>
      </c>
      <c r="D1691" s="123">
        <f>SUMIF(B$3:B$3844,B1691,M$3:M$3844)/(SUMIF(B$3:B$3844,B1691,J$3:J$3844))</f>
        <v>0.92942971581155831</v>
      </c>
      <c r="E1691" s="23">
        <v>227197</v>
      </c>
      <c r="F1691" s="46" t="s">
        <v>1596</v>
      </c>
      <c r="G1691" s="23"/>
      <c r="H1691" s="23"/>
      <c r="I1691" s="41"/>
      <c r="J1691" s="41">
        <v>1769</v>
      </c>
      <c r="K1691" s="20">
        <v>2015</v>
      </c>
      <c r="L1691" s="24">
        <v>62.01</v>
      </c>
      <c r="M1691" s="110">
        <f>IF(L1691="",I1691,(MIN(J1691,(L1691*1.6*J1691))))</f>
        <v>1769</v>
      </c>
      <c r="N1691" s="111">
        <f>IF(M1691=0,0,(M1691/J1691))</f>
        <v>1</v>
      </c>
    </row>
    <row r="1692" spans="2:14">
      <c r="B1692" s="72">
        <v>127832</v>
      </c>
      <c r="C1692" s="47" t="str">
        <f>"LEE"</f>
        <v>LEE</v>
      </c>
      <c r="D1692" s="123">
        <f>SUMIF(B$3:B$3844,B1692,M$3:M$3844)/(SUMIF(B$3:B$3844,B1692,J$3:J$3844))</f>
        <v>0.92942971581155831</v>
      </c>
      <c r="E1692" s="47">
        <v>178301</v>
      </c>
      <c r="F1692" s="48" t="s">
        <v>1597</v>
      </c>
      <c r="G1692" s="47"/>
      <c r="H1692" s="47"/>
      <c r="I1692" s="40"/>
      <c r="J1692" s="40">
        <v>312</v>
      </c>
      <c r="K1692" s="20">
        <v>2015</v>
      </c>
      <c r="L1692" s="24">
        <v>96.47</v>
      </c>
      <c r="M1692" s="110">
        <f>IF(L1692="",I1692,(MIN(J1692,(L1692*1.6*J1692))))</f>
        <v>312</v>
      </c>
      <c r="N1692" s="111">
        <f>IF(M1692=0,0,(M1692/J1692))</f>
        <v>1</v>
      </c>
    </row>
    <row r="1693" spans="2:14">
      <c r="B1693" s="73">
        <v>127832</v>
      </c>
      <c r="C1693" s="23" t="str">
        <f>"LEE"</f>
        <v>LEE</v>
      </c>
      <c r="D1693" s="123">
        <f>SUMIF(B$3:B$3844,B1693,M$3:M$3844)/(SUMIF(B$3:B$3844,B1693,J$3:J$3844))</f>
        <v>0.92942971581155831</v>
      </c>
      <c r="E1693" s="23">
        <v>16027138</v>
      </c>
      <c r="F1693" s="46" t="str">
        <f>"EAST LEE COUNTY HIGH SCHOOL"</f>
        <v>EAST LEE COUNTY HIGH SCHOOL</v>
      </c>
      <c r="G1693" s="23"/>
      <c r="H1693" s="23"/>
      <c r="I1693" s="41"/>
      <c r="J1693" s="41">
        <v>1885</v>
      </c>
      <c r="K1693" s="20">
        <v>2015</v>
      </c>
      <c r="L1693" s="24">
        <v>66.2</v>
      </c>
      <c r="M1693" s="110">
        <f>IF(L1693="",I1693,(MIN(J1693,(L1693*1.6*J1693))))</f>
        <v>1885</v>
      </c>
      <c r="N1693" s="111">
        <f>IF(M1693=0,0,(M1693/J1693))</f>
        <v>1</v>
      </c>
    </row>
    <row r="1694" spans="2:14">
      <c r="B1694" s="72">
        <v>127832</v>
      </c>
      <c r="C1694" s="47" t="str">
        <f>"LEE"</f>
        <v>LEE</v>
      </c>
      <c r="D1694" s="123">
        <f>SUMIF(B$3:B$3844,B1694,M$3:M$3844)/(SUMIF(B$3:B$3844,B1694,J$3:J$3844))</f>
        <v>0.92942971581155831</v>
      </c>
      <c r="E1694" s="47">
        <v>38251</v>
      </c>
      <c r="F1694" s="48" t="str">
        <f>"EDGEWOOD ACADEMY"</f>
        <v>EDGEWOOD ACADEMY</v>
      </c>
      <c r="G1694" s="47"/>
      <c r="H1694" s="47"/>
      <c r="I1694" s="40"/>
      <c r="J1694" s="40">
        <v>526</v>
      </c>
      <c r="K1694" s="20">
        <v>2015</v>
      </c>
      <c r="L1694" s="24">
        <v>85.36</v>
      </c>
      <c r="M1694" s="110">
        <f>IF(L1694="",I1694,(MIN(J1694,(L1694*1.6*J1694))))</f>
        <v>526</v>
      </c>
      <c r="N1694" s="111">
        <f>IF(M1694=0,0,(M1694/J1694))</f>
        <v>1</v>
      </c>
    </row>
    <row r="1695" spans="2:14" ht="30">
      <c r="B1695" s="73">
        <v>127832</v>
      </c>
      <c r="C1695" s="23" t="str">
        <f>"LEE"</f>
        <v>LEE</v>
      </c>
      <c r="D1695" s="123">
        <f>SUMIF(B$3:B$3844,B1695,M$3:M$3844)/(SUMIF(B$3:B$3844,B1695,J$3:J$3844))</f>
        <v>0.92942971581155831</v>
      </c>
      <c r="E1695" s="23">
        <v>38202</v>
      </c>
      <c r="F1695" s="46" t="s">
        <v>1598</v>
      </c>
      <c r="G1695" s="23"/>
      <c r="H1695" s="23"/>
      <c r="I1695" s="41"/>
      <c r="J1695" s="41">
        <v>347</v>
      </c>
      <c r="K1695" s="20">
        <v>2015</v>
      </c>
      <c r="L1695" s="24">
        <v>50.14</v>
      </c>
      <c r="M1695" s="110">
        <f>IF(L1695="",I1695,(MIN(J1695,(L1695*1.6*J1695))))</f>
        <v>347</v>
      </c>
      <c r="N1695" s="111">
        <f>IF(M1695=0,0,(M1695/J1695))</f>
        <v>1</v>
      </c>
    </row>
    <row r="1696" spans="2:14">
      <c r="B1696" s="72">
        <v>127832</v>
      </c>
      <c r="C1696" s="47" t="str">
        <f>"LEE"</f>
        <v>LEE</v>
      </c>
      <c r="D1696" s="123">
        <f>SUMIF(B$3:B$3844,B1696,M$3:M$3844)/(SUMIF(B$3:B$3844,B1696,J$3:J$3844))</f>
        <v>0.92942971581155831</v>
      </c>
      <c r="E1696" s="47">
        <v>38282</v>
      </c>
      <c r="F1696" s="48" t="str">
        <f>"ESTERO HIGH SCHOOL"</f>
        <v>ESTERO HIGH SCHOOL</v>
      </c>
      <c r="G1696" s="47"/>
      <c r="H1696" s="47"/>
      <c r="I1696" s="40">
        <v>832</v>
      </c>
      <c r="J1696" s="40">
        <v>1763</v>
      </c>
      <c r="K1696" s="20"/>
      <c r="L1696" s="24"/>
      <c r="M1696" s="110">
        <f>IF(L1696="",I1696,(MIN(J1696,(L1696*1.6*J1696))))</f>
        <v>832</v>
      </c>
      <c r="N1696" s="111">
        <f>IF(M1696=0,0,(M1696/J1696))</f>
        <v>0.47192285876347134</v>
      </c>
    </row>
    <row r="1697" spans="2:14">
      <c r="B1697" s="73">
        <v>127832</v>
      </c>
      <c r="C1697" s="23" t="str">
        <f>"LEE"</f>
        <v>LEE</v>
      </c>
      <c r="D1697" s="123">
        <f>SUMIF(B$3:B$3844,B1697,M$3:M$3844)/(SUMIF(B$3:B$3844,B1697,J$3:J$3844))</f>
        <v>0.92942971581155831</v>
      </c>
      <c r="E1697" s="23">
        <v>38284</v>
      </c>
      <c r="F1697" s="46" t="s">
        <v>1599</v>
      </c>
      <c r="G1697" s="23"/>
      <c r="H1697" s="23"/>
      <c r="I1697" s="41"/>
      <c r="J1697" s="41">
        <v>125</v>
      </c>
      <c r="K1697" s="20">
        <v>2015</v>
      </c>
      <c r="L1697" s="24">
        <v>49.6</v>
      </c>
      <c r="M1697" s="110">
        <f>IF(L1697="",I1697,(MIN(J1697,(L1697*1.6*J1697))))</f>
        <v>125</v>
      </c>
      <c r="N1697" s="111">
        <f>IF(M1697=0,0,(M1697/J1697))</f>
        <v>1</v>
      </c>
    </row>
    <row r="1698" spans="2:14">
      <c r="B1698" s="72">
        <v>127832</v>
      </c>
      <c r="C1698" s="47" t="str">
        <f>"LEE"</f>
        <v>LEE</v>
      </c>
      <c r="D1698" s="123">
        <f>SUMIF(B$3:B$3844,B1698,M$3:M$3844)/(SUMIF(B$3:B$3844,B1698,J$3:J$3844))</f>
        <v>0.92942971581155831</v>
      </c>
      <c r="E1698" s="47">
        <v>38204</v>
      </c>
      <c r="F1698" s="48" t="str">
        <f>"FORT MYERS HIGH SCHOOL"</f>
        <v>FORT MYERS HIGH SCHOOL</v>
      </c>
      <c r="G1698" s="47"/>
      <c r="H1698" s="47"/>
      <c r="I1698" s="40">
        <v>716</v>
      </c>
      <c r="J1698" s="40">
        <v>1860</v>
      </c>
      <c r="K1698" s="20"/>
      <c r="L1698" s="24"/>
      <c r="M1698" s="110">
        <f>IF(L1698="",I1698,(MIN(J1698,(L1698*1.6*J1698))))</f>
        <v>716</v>
      </c>
      <c r="N1698" s="111">
        <f>IF(M1698=0,0,(M1698/J1698))</f>
        <v>0.38494623655913979</v>
      </c>
    </row>
    <row r="1699" spans="2:14">
      <c r="B1699" s="73">
        <v>127832</v>
      </c>
      <c r="C1699" s="23" t="str">
        <f>"LEE"</f>
        <v>LEE</v>
      </c>
      <c r="D1699" s="123">
        <f>SUMIF(B$3:B$3844,B1699,M$3:M$3844)/(SUMIF(B$3:B$3844,B1699,J$3:J$3844))</f>
        <v>0.92942971581155831</v>
      </c>
      <c r="E1699" s="23">
        <v>16075194</v>
      </c>
      <c r="F1699" s="46" t="s">
        <v>1600</v>
      </c>
      <c r="G1699" s="23"/>
      <c r="H1699" s="23"/>
      <c r="I1699" s="41"/>
      <c r="J1699" s="41">
        <v>0</v>
      </c>
      <c r="K1699" s="20"/>
      <c r="L1699" s="24"/>
      <c r="M1699" s="110">
        <f>IF(L1699="",I1699,(MIN(J1699,(L1699*1.6*J1699))))</f>
        <v>0</v>
      </c>
      <c r="N1699" s="111">
        <f>IF(M1699=0,0,(M1699/J1699))</f>
        <v>0</v>
      </c>
    </row>
    <row r="1700" spans="2:14">
      <c r="B1700" s="72">
        <v>127832</v>
      </c>
      <c r="C1700" s="47" t="str">
        <f>"LEE"</f>
        <v>LEE</v>
      </c>
      <c r="D1700" s="123">
        <f>SUMIF(B$3:B$3844,B1700,M$3:M$3844)/(SUMIF(B$3:B$3844,B1700,J$3:J$3844))</f>
        <v>0.92942971581155831</v>
      </c>
      <c r="E1700" s="47">
        <v>38205</v>
      </c>
      <c r="F1700" s="48" t="str">
        <f>"FORT MYERS MIDDLE ACADEMY"</f>
        <v>FORT MYERS MIDDLE ACADEMY</v>
      </c>
      <c r="G1700" s="47"/>
      <c r="H1700" s="47"/>
      <c r="I1700" s="40"/>
      <c r="J1700" s="40">
        <v>546</v>
      </c>
      <c r="K1700" s="20">
        <v>2015</v>
      </c>
      <c r="L1700" s="24">
        <v>77.099999999999994</v>
      </c>
      <c r="M1700" s="110">
        <f>IF(L1700="",I1700,(MIN(J1700,(L1700*1.6*J1700))))</f>
        <v>546</v>
      </c>
      <c r="N1700" s="111">
        <f>IF(M1700=0,0,(M1700/J1700))</f>
        <v>1</v>
      </c>
    </row>
    <row r="1701" spans="2:14">
      <c r="B1701" s="73">
        <v>127832</v>
      </c>
      <c r="C1701" s="23" t="str">
        <f>"LEE"</f>
        <v>LEE</v>
      </c>
      <c r="D1701" s="123">
        <f>SUMIF(B$3:B$3844,B1701,M$3:M$3844)/(SUMIF(B$3:B$3844,B1701,J$3:J$3844))</f>
        <v>0.92942971581155831</v>
      </c>
      <c r="E1701" s="23">
        <v>38259</v>
      </c>
      <c r="F1701" s="46" t="s">
        <v>1601</v>
      </c>
      <c r="G1701" s="23"/>
      <c r="H1701" s="23"/>
      <c r="I1701" s="41"/>
      <c r="J1701" s="41">
        <v>450</v>
      </c>
      <c r="K1701" s="20">
        <v>2015</v>
      </c>
      <c r="L1701" s="24">
        <v>89.55</v>
      </c>
      <c r="M1701" s="110">
        <f>IF(L1701="",I1701,(MIN(J1701,(L1701*1.6*J1701))))</f>
        <v>450</v>
      </c>
      <c r="N1701" s="111">
        <f>IF(M1701=0,0,(M1701/J1701))</f>
        <v>1</v>
      </c>
    </row>
    <row r="1702" spans="2:14">
      <c r="B1702" s="72">
        <v>127832</v>
      </c>
      <c r="C1702" s="47" t="str">
        <f>"LEE"</f>
        <v>LEE</v>
      </c>
      <c r="D1702" s="123">
        <f>SUMIF(B$3:B$3844,B1702,M$3:M$3844)/(SUMIF(B$3:B$3844,B1702,J$3:J$3844))</f>
        <v>0.92942971581155831</v>
      </c>
      <c r="E1702" s="47">
        <v>16068504</v>
      </c>
      <c r="F1702" s="48" t="s">
        <v>1602</v>
      </c>
      <c r="G1702" s="47"/>
      <c r="H1702" s="47"/>
      <c r="I1702" s="40"/>
      <c r="J1702" s="40">
        <v>766</v>
      </c>
      <c r="K1702" s="20">
        <v>2015</v>
      </c>
      <c r="L1702" s="24">
        <v>74.930000000000007</v>
      </c>
      <c r="M1702" s="110">
        <f>IF(L1702="",I1702,(MIN(J1702,(L1702*1.6*J1702))))</f>
        <v>766</v>
      </c>
      <c r="N1702" s="111">
        <f>IF(M1702=0,0,(M1702/J1702))</f>
        <v>1</v>
      </c>
    </row>
    <row r="1703" spans="2:14">
      <c r="B1703" s="73">
        <v>127832</v>
      </c>
      <c r="C1703" s="23" t="str">
        <f>"LEE"</f>
        <v>LEE</v>
      </c>
      <c r="D1703" s="123">
        <f>SUMIF(B$3:B$3844,B1703,M$3:M$3844)/(SUMIF(B$3:B$3844,B1703,J$3:J$3844))</f>
        <v>0.92942971581155831</v>
      </c>
      <c r="E1703" s="23">
        <v>38244</v>
      </c>
      <c r="F1703" s="46" t="str">
        <f>"GATEWAY ELEMENTARY SCHOOL"</f>
        <v>GATEWAY ELEMENTARY SCHOOL</v>
      </c>
      <c r="G1703" s="23"/>
      <c r="H1703" s="23"/>
      <c r="I1703" s="41"/>
      <c r="J1703" s="41">
        <v>715</v>
      </c>
      <c r="K1703" s="20">
        <v>2015</v>
      </c>
      <c r="L1703" s="24">
        <v>48.11</v>
      </c>
      <c r="M1703" s="110">
        <f>IF(L1703="",I1703,(MIN(J1703,(L1703*1.6*J1703))))</f>
        <v>715</v>
      </c>
      <c r="N1703" s="111">
        <f>IF(M1703=0,0,(M1703/J1703))</f>
        <v>1</v>
      </c>
    </row>
    <row r="1704" spans="2:14">
      <c r="B1704" s="72">
        <v>127832</v>
      </c>
      <c r="C1704" s="47" t="str">
        <f>"LEE"</f>
        <v>LEE</v>
      </c>
      <c r="D1704" s="123">
        <f>SUMIF(B$3:B$3844,B1704,M$3:M$3844)/(SUMIF(B$3:B$3844,B1704,J$3:J$3844))</f>
        <v>0.92942971581155831</v>
      </c>
      <c r="E1704" s="47">
        <v>38245</v>
      </c>
      <c r="F1704" s="48" t="str">
        <f>"GULF ELEMENTARY SCHOOL"</f>
        <v>GULF ELEMENTARY SCHOOL</v>
      </c>
      <c r="G1704" s="47"/>
      <c r="H1704" s="47"/>
      <c r="I1704" s="40"/>
      <c r="J1704" s="40">
        <v>1043</v>
      </c>
      <c r="K1704" s="20">
        <v>2015</v>
      </c>
      <c r="L1704" s="24">
        <v>41.7</v>
      </c>
      <c r="M1704" s="110">
        <f>IF(L1704="",I1704,(MIN(J1704,(L1704*1.6*J1704))))</f>
        <v>1043</v>
      </c>
      <c r="N1704" s="111">
        <f>IF(M1704=0,0,(M1704/J1704))</f>
        <v>1</v>
      </c>
    </row>
    <row r="1705" spans="2:14">
      <c r="B1705" s="73">
        <v>127832</v>
      </c>
      <c r="C1705" s="23" t="str">
        <f>"LEE"</f>
        <v>LEE</v>
      </c>
      <c r="D1705" s="123">
        <f>SUMIF(B$3:B$3844,B1705,M$3:M$3844)/(SUMIF(B$3:B$3844,B1705,J$3:J$3844))</f>
        <v>0.92942971581155831</v>
      </c>
      <c r="E1705" s="23">
        <v>38246</v>
      </c>
      <c r="F1705" s="46" t="str">
        <f>"GULF MIDDLE SCHOOL"</f>
        <v>GULF MIDDLE SCHOOL</v>
      </c>
      <c r="G1705" s="23"/>
      <c r="H1705" s="23"/>
      <c r="I1705" s="41"/>
      <c r="J1705" s="41">
        <v>804</v>
      </c>
      <c r="K1705" s="20">
        <v>2015</v>
      </c>
      <c r="L1705" s="24">
        <v>41.29</v>
      </c>
      <c r="M1705" s="110">
        <f>IF(L1705="",I1705,(MIN(J1705,(L1705*1.6*J1705))))</f>
        <v>804</v>
      </c>
      <c r="N1705" s="111">
        <f>IF(M1705=0,0,(M1705/J1705))</f>
        <v>1</v>
      </c>
    </row>
    <row r="1706" spans="2:14">
      <c r="B1706" s="72">
        <v>127832</v>
      </c>
      <c r="C1706" s="47" t="str">
        <f>"LEE"</f>
        <v>LEE</v>
      </c>
      <c r="D1706" s="123">
        <f>SUMIF(B$3:B$3844,B1706,M$3:M$3844)/(SUMIF(B$3:B$3844,B1706,J$3:J$3844))</f>
        <v>0.92942971581155831</v>
      </c>
      <c r="E1706" s="47">
        <v>38215</v>
      </c>
      <c r="F1706" s="48" t="s">
        <v>1603</v>
      </c>
      <c r="G1706" s="47"/>
      <c r="H1706" s="47"/>
      <c r="I1706" s="40"/>
      <c r="J1706" s="40">
        <v>847</v>
      </c>
      <c r="K1706" s="20">
        <v>2015</v>
      </c>
      <c r="L1706" s="24">
        <v>57.14</v>
      </c>
      <c r="M1706" s="110">
        <f>IF(L1706="",I1706,(MIN(J1706,(L1706*1.6*J1706))))</f>
        <v>847</v>
      </c>
      <c r="N1706" s="111">
        <f>IF(M1706=0,0,(M1706/J1706))</f>
        <v>1</v>
      </c>
    </row>
    <row r="1707" spans="2:14">
      <c r="B1707" s="73">
        <v>127832</v>
      </c>
      <c r="C1707" s="23" t="str">
        <f>"LEE"</f>
        <v>LEE</v>
      </c>
      <c r="D1707" s="123">
        <f>SUMIF(B$3:B$3844,B1707,M$3:M$3844)/(SUMIF(B$3:B$3844,B1707,J$3:J$3844))</f>
        <v>0.92942971581155831</v>
      </c>
      <c r="E1707" s="23">
        <v>16027133</v>
      </c>
      <c r="F1707" s="46" t="str">
        <f>"HARNS MARSH ELEMENTARY SCHOOL"</f>
        <v>HARNS MARSH ELEMENTARY SCHOOL</v>
      </c>
      <c r="G1707" s="23"/>
      <c r="H1707" s="23"/>
      <c r="I1707" s="41"/>
      <c r="J1707" s="41">
        <v>995</v>
      </c>
      <c r="K1707" s="20">
        <v>2015</v>
      </c>
      <c r="L1707" s="24">
        <v>76.180000000000007</v>
      </c>
      <c r="M1707" s="110">
        <f>IF(L1707="",I1707,(MIN(J1707,(L1707*1.6*J1707))))</f>
        <v>995</v>
      </c>
      <c r="N1707" s="111">
        <f>IF(M1707=0,0,(M1707/J1707))</f>
        <v>1</v>
      </c>
    </row>
    <row r="1708" spans="2:14">
      <c r="B1708" s="72">
        <v>127832</v>
      </c>
      <c r="C1708" s="47" t="str">
        <f>"LEE"</f>
        <v>LEE</v>
      </c>
      <c r="D1708" s="123">
        <f>SUMIF(B$3:B$3844,B1708,M$3:M$3844)/(SUMIF(B$3:B$3844,B1708,J$3:J$3844))</f>
        <v>0.92942971581155831</v>
      </c>
      <c r="E1708" s="47">
        <v>16074053</v>
      </c>
      <c r="F1708" s="48" t="str">
        <f>"HARNS MARSH MIDDLE SCHOOL"</f>
        <v>HARNS MARSH MIDDLE SCHOOL</v>
      </c>
      <c r="G1708" s="47"/>
      <c r="H1708" s="47"/>
      <c r="I1708" s="40"/>
      <c r="J1708" s="40">
        <v>1037</v>
      </c>
      <c r="K1708" s="20">
        <v>2015</v>
      </c>
      <c r="L1708" s="24">
        <v>71.260000000000005</v>
      </c>
      <c r="M1708" s="110">
        <f>IF(L1708="",I1708,(MIN(J1708,(L1708*1.6*J1708))))</f>
        <v>1037</v>
      </c>
      <c r="N1708" s="111">
        <f>IF(M1708=0,0,(M1708/J1708))</f>
        <v>1</v>
      </c>
    </row>
    <row r="1709" spans="2:14">
      <c r="B1709" s="73">
        <v>127832</v>
      </c>
      <c r="C1709" s="23" t="str">
        <f>"LEE"</f>
        <v>LEE</v>
      </c>
      <c r="D1709" s="123">
        <f>SUMIF(B$3:B$3844,B1709,M$3:M$3844)/(SUMIF(B$3:B$3844,B1709,J$3:J$3844))</f>
        <v>0.92942971581155831</v>
      </c>
      <c r="E1709" s="23">
        <v>16027134</v>
      </c>
      <c r="F1709" s="46" t="s">
        <v>1604</v>
      </c>
      <c r="G1709" s="23"/>
      <c r="H1709" s="23"/>
      <c r="I1709" s="41"/>
      <c r="J1709" s="41">
        <v>687</v>
      </c>
      <c r="K1709" s="20">
        <v>2015</v>
      </c>
      <c r="L1709" s="24">
        <v>64.19</v>
      </c>
      <c r="M1709" s="110">
        <f>IF(L1709="",I1709,(MIN(J1709,(L1709*1.6*J1709))))</f>
        <v>687</v>
      </c>
      <c r="N1709" s="111">
        <f>IF(M1709=0,0,(M1709/J1709))</f>
        <v>1</v>
      </c>
    </row>
    <row r="1710" spans="2:14">
      <c r="B1710" s="72">
        <v>127832</v>
      </c>
      <c r="C1710" s="47" t="str">
        <f>"LEE"</f>
        <v>LEE</v>
      </c>
      <c r="D1710" s="123">
        <f>SUMIF(B$3:B$3844,B1710,M$3:M$3844)/(SUMIF(B$3:B$3844,B1710,J$3:J$3844))</f>
        <v>0.92942971581155831</v>
      </c>
      <c r="E1710" s="47">
        <v>38237</v>
      </c>
      <c r="F1710" s="48" t="str">
        <f>"HEIGHTS ELEMENTARY SCHOOL"</f>
        <v>HEIGHTS ELEMENTARY SCHOOL</v>
      </c>
      <c r="G1710" s="47"/>
      <c r="H1710" s="47"/>
      <c r="I1710" s="40"/>
      <c r="J1710" s="40">
        <v>1189</v>
      </c>
      <c r="K1710" s="20">
        <v>2015</v>
      </c>
      <c r="L1710" s="24">
        <v>43.98</v>
      </c>
      <c r="M1710" s="110">
        <f>IF(L1710="",I1710,(MIN(J1710,(L1710*1.6*J1710))))</f>
        <v>1189</v>
      </c>
      <c r="N1710" s="111">
        <f>IF(M1710=0,0,(M1710/J1710))</f>
        <v>1</v>
      </c>
    </row>
    <row r="1711" spans="2:14">
      <c r="B1711" s="73">
        <v>127832</v>
      </c>
      <c r="C1711" s="23" t="str">
        <f>"LEE"</f>
        <v>LEE</v>
      </c>
      <c r="D1711" s="123">
        <f>SUMIF(B$3:B$3844,B1711,M$3:M$3844)/(SUMIF(B$3:B$3844,B1711,J$3:J$3844))</f>
        <v>0.92942971581155831</v>
      </c>
      <c r="E1711" s="23">
        <v>16027145</v>
      </c>
      <c r="F1711" s="46" t="str">
        <f>"IDA S. BAKER HIGH SCHOOL"</f>
        <v>IDA S. BAKER HIGH SCHOOL</v>
      </c>
      <c r="G1711" s="23"/>
      <c r="H1711" s="23"/>
      <c r="I1711" s="41">
        <v>985</v>
      </c>
      <c r="J1711" s="41">
        <v>1801</v>
      </c>
      <c r="K1711" s="20"/>
      <c r="L1711" s="24"/>
      <c r="M1711" s="110">
        <f>IF(L1711="",I1711,(MIN(J1711,(L1711*1.6*J1711))))</f>
        <v>985</v>
      </c>
      <c r="N1711" s="111">
        <f>IF(M1711=0,0,(M1711/J1711))</f>
        <v>0.5469183786785119</v>
      </c>
    </row>
    <row r="1712" spans="2:14">
      <c r="B1712" s="72">
        <v>127832</v>
      </c>
      <c r="C1712" s="47" t="str">
        <f>"LEE"</f>
        <v>LEE</v>
      </c>
      <c r="D1712" s="123">
        <f>SUMIF(B$3:B$3844,B1712,M$3:M$3844)/(SUMIF(B$3:B$3844,B1712,J$3:J$3844))</f>
        <v>0.92942971581155831</v>
      </c>
      <c r="E1712" s="47">
        <v>16045444</v>
      </c>
      <c r="F1712" s="48" t="s">
        <v>1605</v>
      </c>
      <c r="G1712" s="47"/>
      <c r="H1712" s="47"/>
      <c r="I1712" s="40"/>
      <c r="J1712" s="40">
        <v>1699</v>
      </c>
      <c r="K1712" s="20">
        <v>2015</v>
      </c>
      <c r="L1712" s="24">
        <v>52.03</v>
      </c>
      <c r="M1712" s="110">
        <f>IF(L1712="",I1712,(MIN(J1712,(L1712*1.6*J1712))))</f>
        <v>1699</v>
      </c>
      <c r="N1712" s="111">
        <f>IF(M1712=0,0,(M1712/J1712))</f>
        <v>1</v>
      </c>
    </row>
    <row r="1713" spans="2:14">
      <c r="B1713" s="73">
        <v>127832</v>
      </c>
      <c r="C1713" s="23" t="str">
        <f>"LEE"</f>
        <v>LEE</v>
      </c>
      <c r="D1713" s="123">
        <f>SUMIF(B$3:B$3844,B1713,M$3:M$3844)/(SUMIF(B$3:B$3844,B1713,J$3:J$3844))</f>
        <v>0.92942971581155831</v>
      </c>
      <c r="E1713" s="23">
        <v>38214</v>
      </c>
      <c r="F1713" s="46" t="s">
        <v>1606</v>
      </c>
      <c r="G1713" s="23"/>
      <c r="H1713" s="23"/>
      <c r="I1713" s="41"/>
      <c r="J1713" s="41">
        <v>495</v>
      </c>
      <c r="K1713" s="20">
        <v>2015</v>
      </c>
      <c r="L1713" s="24">
        <v>81.41</v>
      </c>
      <c r="M1713" s="110">
        <f>IF(L1713="",I1713,(MIN(J1713,(L1713*1.6*J1713))))</f>
        <v>495</v>
      </c>
      <c r="N1713" s="111">
        <f>IF(M1713=0,0,(M1713/J1713))</f>
        <v>1</v>
      </c>
    </row>
    <row r="1714" spans="2:14">
      <c r="B1714" s="72">
        <v>127832</v>
      </c>
      <c r="C1714" s="47" t="str">
        <f>"LEE"</f>
        <v>LEE</v>
      </c>
      <c r="D1714" s="123">
        <f>SUMIF(B$3:B$3844,B1714,M$3:M$3844)/(SUMIF(B$3:B$3844,B1714,J$3:J$3844))</f>
        <v>0.92942971581155831</v>
      </c>
      <c r="E1714" s="47">
        <v>16068508</v>
      </c>
      <c r="F1714" s="48" t="s">
        <v>1607</v>
      </c>
      <c r="G1714" s="47"/>
      <c r="H1714" s="47"/>
      <c r="I1714" s="40"/>
      <c r="J1714" s="40">
        <v>641</v>
      </c>
      <c r="K1714" s="20">
        <v>2015</v>
      </c>
      <c r="L1714" s="24">
        <v>81.430000000000007</v>
      </c>
      <c r="M1714" s="110">
        <f>IF(L1714="",I1714,(MIN(J1714,(L1714*1.6*J1714))))</f>
        <v>641</v>
      </c>
      <c r="N1714" s="111">
        <f>IF(M1714=0,0,(M1714/J1714))</f>
        <v>1</v>
      </c>
    </row>
    <row r="1715" spans="2:14">
      <c r="B1715" s="73">
        <v>127832</v>
      </c>
      <c r="C1715" s="23" t="str">
        <f>"LEE"</f>
        <v>LEE</v>
      </c>
      <c r="D1715" s="123">
        <f>SUMIF(B$3:B$3844,B1715,M$3:M$3844)/(SUMIF(B$3:B$3844,B1715,J$3:J$3844))</f>
        <v>0.92942971581155831</v>
      </c>
      <c r="E1715" s="23">
        <v>205984</v>
      </c>
      <c r="F1715" s="46" t="str">
        <f>"LEE ADOLESCENT MOTHERS PROGRAM"</f>
        <v>LEE ADOLESCENT MOTHERS PROGRAM</v>
      </c>
      <c r="G1715" s="23"/>
      <c r="H1715" s="23"/>
      <c r="I1715" s="41"/>
      <c r="J1715" s="41">
        <v>70</v>
      </c>
      <c r="K1715" s="20">
        <v>2015</v>
      </c>
      <c r="L1715" s="24">
        <v>74.28</v>
      </c>
      <c r="M1715" s="110">
        <f>IF(L1715="",I1715,(MIN(J1715,(L1715*1.6*J1715))))</f>
        <v>70</v>
      </c>
      <c r="N1715" s="111">
        <f>IF(M1715=0,0,(M1715/J1715))</f>
        <v>1</v>
      </c>
    </row>
    <row r="1716" spans="2:14">
      <c r="B1716" s="72">
        <v>127832</v>
      </c>
      <c r="C1716" s="47" t="str">
        <f>"LEE"</f>
        <v>LEE</v>
      </c>
      <c r="D1716" s="123">
        <f>SUMIF(B$3:B$3844,B1716,M$3:M$3844)/(SUMIF(B$3:B$3844,B1716,J$3:J$3844))</f>
        <v>0.92942971581155831</v>
      </c>
      <c r="E1716" s="47">
        <v>16084410</v>
      </c>
      <c r="F1716" s="48" t="str">
        <f>"LEE DISTRICT OFFICE"</f>
        <v>LEE DISTRICT OFFICE</v>
      </c>
      <c r="G1716" s="47"/>
      <c r="H1716" s="47"/>
      <c r="I1716" s="40"/>
      <c r="J1716" s="40" t="str">
        <f>"0"</f>
        <v>0</v>
      </c>
      <c r="K1716" s="20"/>
      <c r="L1716" s="24"/>
      <c r="M1716" s="110">
        <f>IF(L1716="",I1716,(MIN(J1716,(L1716*1.6*J1716))))</f>
        <v>0</v>
      </c>
      <c r="N1716" s="111">
        <f>IF(M1716=0,0,(M1716/J1716))</f>
        <v>0</v>
      </c>
    </row>
    <row r="1717" spans="2:14">
      <c r="B1717" s="73">
        <v>127832</v>
      </c>
      <c r="C1717" s="23" t="str">
        <f>"LEE"</f>
        <v>LEE</v>
      </c>
      <c r="D1717" s="123">
        <f>SUMIF(B$3:B$3844,B1717,M$3:M$3844)/(SUMIF(B$3:B$3844,B1717,J$3:J$3844))</f>
        <v>0.92942971581155831</v>
      </c>
      <c r="E1717" s="23">
        <v>16068510</v>
      </c>
      <c r="F1717" s="46" t="s">
        <v>1608</v>
      </c>
      <c r="G1717" s="23"/>
      <c r="H1717" s="23"/>
      <c r="I1717" s="41"/>
      <c r="J1717" s="44">
        <v>289</v>
      </c>
      <c r="K1717" s="20"/>
      <c r="L1717" s="24"/>
      <c r="M1717" s="110">
        <f>IF(L1717="",I1717,(MIN(J1717,(L1717*1.6*J1717))))</f>
        <v>0</v>
      </c>
      <c r="N1717" s="111">
        <f>IF(M1717=0,0,(M1717/J1717))</f>
        <v>0</v>
      </c>
    </row>
    <row r="1718" spans="2:14">
      <c r="B1718" s="72">
        <v>127832</v>
      </c>
      <c r="C1718" s="47" t="str">
        <f>"LEE"</f>
        <v>LEE</v>
      </c>
      <c r="D1718" s="123">
        <f>SUMIF(B$3:B$3844,B1718,M$3:M$3844)/(SUMIF(B$3:B$3844,B1718,J$3:J$3844))</f>
        <v>0.92942971581155831</v>
      </c>
      <c r="E1718" s="47">
        <v>38292</v>
      </c>
      <c r="F1718" s="48" t="str">
        <f>"LEHIGH ACRES MIDDLE SCHOOL"</f>
        <v>LEHIGH ACRES MIDDLE SCHOOL</v>
      </c>
      <c r="G1718" s="47"/>
      <c r="H1718" s="47"/>
      <c r="I1718" s="40"/>
      <c r="J1718" s="40">
        <v>1171</v>
      </c>
      <c r="K1718" s="20">
        <v>2015</v>
      </c>
      <c r="L1718" s="24">
        <v>70.19</v>
      </c>
      <c r="M1718" s="110">
        <f>IF(L1718="",I1718,(MIN(J1718,(L1718*1.6*J1718))))</f>
        <v>1171</v>
      </c>
      <c r="N1718" s="111">
        <f>IF(M1718=0,0,(M1718/J1718))</f>
        <v>1</v>
      </c>
    </row>
    <row r="1719" spans="2:14">
      <c r="B1719" s="73">
        <v>127832</v>
      </c>
      <c r="C1719" s="23" t="str">
        <f>"LEE"</f>
        <v>LEE</v>
      </c>
      <c r="D1719" s="123">
        <f>SUMIF(B$3:B$3844,B1719,M$3:M$3844)/(SUMIF(B$3:B$3844,B1719,J$3:J$3844))</f>
        <v>0.92942971581155831</v>
      </c>
      <c r="E1719" s="23">
        <v>38289</v>
      </c>
      <c r="F1719" s="46" t="str">
        <f>"LEHIGH ELEMENTARY SCHOOL"</f>
        <v>LEHIGH ELEMENTARY SCHOOL</v>
      </c>
      <c r="G1719" s="23"/>
      <c r="H1719" s="23"/>
      <c r="I1719" s="41"/>
      <c r="J1719" s="41">
        <v>1180</v>
      </c>
      <c r="K1719" s="20">
        <v>2015</v>
      </c>
      <c r="L1719" s="24">
        <v>76.180000000000007</v>
      </c>
      <c r="M1719" s="110">
        <f>IF(L1719="",I1719,(MIN(J1719,(L1719*1.6*J1719))))</f>
        <v>1180</v>
      </c>
      <c r="N1719" s="111">
        <f>IF(M1719=0,0,(M1719/J1719))</f>
        <v>1</v>
      </c>
    </row>
    <row r="1720" spans="2:14">
      <c r="B1720" s="72">
        <v>127832</v>
      </c>
      <c r="C1720" s="47" t="str">
        <f>"LEE"</f>
        <v>LEE</v>
      </c>
      <c r="D1720" s="123">
        <f>SUMIF(B$3:B$3844,B1720,M$3:M$3844)/(SUMIF(B$3:B$3844,B1720,J$3:J$3844))</f>
        <v>0.92942971581155831</v>
      </c>
      <c r="E1720" s="47">
        <v>38316</v>
      </c>
      <c r="F1720" s="48" t="str">
        <f>"LEHIGH SENIOR HIGH SCHOOL"</f>
        <v>LEHIGH SENIOR HIGH SCHOOL</v>
      </c>
      <c r="G1720" s="47"/>
      <c r="H1720" s="47"/>
      <c r="I1720" s="40"/>
      <c r="J1720" s="40">
        <v>1794</v>
      </c>
      <c r="K1720" s="20">
        <v>2015</v>
      </c>
      <c r="L1720" s="24">
        <v>54.12</v>
      </c>
      <c r="M1720" s="110">
        <f>IF(L1720="",I1720,(MIN(J1720,(L1720*1.6*J1720))))</f>
        <v>1794</v>
      </c>
      <c r="N1720" s="111">
        <f>IF(M1720=0,0,(M1720/J1720))</f>
        <v>1</v>
      </c>
    </row>
    <row r="1721" spans="2:14">
      <c r="B1721" s="73">
        <v>127832</v>
      </c>
      <c r="C1721" s="23" t="str">
        <f>"LEE"</f>
        <v>LEE</v>
      </c>
      <c r="D1721" s="123">
        <f>SUMIF(B$3:B$3844,B1721,M$3:M$3844)/(SUMIF(B$3:B$3844,B1721,J$3:J$3844))</f>
        <v>0.92942971581155831</v>
      </c>
      <c r="E1721" s="23">
        <v>16027137</v>
      </c>
      <c r="F1721" s="46" t="str">
        <f>"LEXINGTON MIDDLE SCHOOL"</f>
        <v>LEXINGTON MIDDLE SCHOOL</v>
      </c>
      <c r="G1721" s="23"/>
      <c r="H1721" s="23"/>
      <c r="I1721" s="41"/>
      <c r="J1721" s="41">
        <v>1037</v>
      </c>
      <c r="K1721" s="20">
        <v>2015</v>
      </c>
      <c r="L1721" s="24">
        <v>39.630000000000003</v>
      </c>
      <c r="M1721" s="110">
        <f>IF(L1721="",I1721,(MIN(J1721,(L1721*1.6*J1721))))</f>
        <v>1037</v>
      </c>
      <c r="N1721" s="111">
        <f>IF(M1721=0,0,(M1721/J1721))</f>
        <v>1</v>
      </c>
    </row>
    <row r="1722" spans="2:14">
      <c r="B1722" s="72">
        <v>127832</v>
      </c>
      <c r="C1722" s="47" t="str">
        <f>"LEE"</f>
        <v>LEE</v>
      </c>
      <c r="D1722" s="123">
        <f>SUMIF(B$3:B$3844,B1722,M$3:M$3844)/(SUMIF(B$3:B$3844,B1722,J$3:J$3844))</f>
        <v>0.92942971581155831</v>
      </c>
      <c r="E1722" s="47">
        <v>16045433</v>
      </c>
      <c r="F1722" s="48" t="str">
        <f>"MANATEE ELEMENTARY SCHOOL"</f>
        <v>MANATEE ELEMENTARY SCHOOL</v>
      </c>
      <c r="G1722" s="47"/>
      <c r="H1722" s="47"/>
      <c r="I1722" s="40"/>
      <c r="J1722" s="40">
        <v>911</v>
      </c>
      <c r="K1722" s="20">
        <v>2015</v>
      </c>
      <c r="L1722" s="24">
        <v>81</v>
      </c>
      <c r="M1722" s="110">
        <f>IF(L1722="",I1722,(MIN(J1722,(L1722*1.6*J1722))))</f>
        <v>911</v>
      </c>
      <c r="N1722" s="111">
        <f>IF(M1722=0,0,(M1722/J1722))</f>
        <v>1</v>
      </c>
    </row>
    <row r="1723" spans="2:14">
      <c r="B1723" s="73">
        <v>127832</v>
      </c>
      <c r="C1723" s="23" t="str">
        <f>"LEE"</f>
        <v>LEE</v>
      </c>
      <c r="D1723" s="123">
        <f>SUMIF(B$3:B$3844,B1723,M$3:M$3844)/(SUMIF(B$3:B$3844,B1723,J$3:J$3844))</f>
        <v>0.92942971581155831</v>
      </c>
      <c r="E1723" s="23">
        <v>38335</v>
      </c>
      <c r="F1723" s="46" t="str">
        <f>"MARINER HIGH SCHOOL"</f>
        <v>MARINER HIGH SCHOOL</v>
      </c>
      <c r="G1723" s="23"/>
      <c r="H1723" s="23"/>
      <c r="I1723" s="41"/>
      <c r="J1723" s="41">
        <v>1549</v>
      </c>
      <c r="K1723" s="20">
        <v>2015</v>
      </c>
      <c r="L1723" s="24">
        <v>43.18</v>
      </c>
      <c r="M1723" s="110">
        <f>IF(L1723="",I1723,(MIN(J1723,(L1723*1.6*J1723))))</f>
        <v>1549</v>
      </c>
      <c r="N1723" s="111">
        <f>IF(M1723=0,0,(M1723/J1723))</f>
        <v>1</v>
      </c>
    </row>
    <row r="1724" spans="2:14">
      <c r="B1724" s="72">
        <v>127832</v>
      </c>
      <c r="C1724" s="47" t="str">
        <f>"LEE"</f>
        <v>LEE</v>
      </c>
      <c r="D1724" s="123">
        <f>SUMIF(B$3:B$3844,B1724,M$3:M$3844)/(SUMIF(B$3:B$3844,B1724,J$3:J$3844))</f>
        <v>0.92942971581155831</v>
      </c>
      <c r="E1724" s="47">
        <v>14720737</v>
      </c>
      <c r="F1724" s="48" t="str">
        <f>"MARINER MIDDLE SCHOOL"</f>
        <v>MARINER MIDDLE SCHOOL</v>
      </c>
      <c r="G1724" s="47"/>
      <c r="H1724" s="47"/>
      <c r="I1724" s="40"/>
      <c r="J1724" s="40">
        <v>900</v>
      </c>
      <c r="K1724" s="20">
        <v>2015</v>
      </c>
      <c r="L1724" s="24">
        <v>58.55</v>
      </c>
      <c r="M1724" s="110">
        <f>IF(L1724="",I1724,(MIN(J1724,(L1724*1.6*J1724))))</f>
        <v>900</v>
      </c>
      <c r="N1724" s="111">
        <f>IF(M1724=0,0,(M1724/J1724))</f>
        <v>1</v>
      </c>
    </row>
    <row r="1725" spans="2:14">
      <c r="B1725" s="73">
        <v>127832</v>
      </c>
      <c r="C1725" s="23" t="str">
        <f>"LEE"</f>
        <v>LEE</v>
      </c>
      <c r="D1725" s="123">
        <f>SUMIF(B$3:B$3844,B1725,M$3:M$3844)/(SUMIF(B$3:B$3844,B1725,J$3:J$3844))</f>
        <v>0.92942971581155831</v>
      </c>
      <c r="E1725" s="23">
        <v>38290</v>
      </c>
      <c r="F1725" s="46" t="str">
        <f>"MIRROR LAKES ELEMENTARY SCHOOL"</f>
        <v>MIRROR LAKES ELEMENTARY SCHOOL</v>
      </c>
      <c r="G1725" s="23"/>
      <c r="H1725" s="23"/>
      <c r="I1725" s="41"/>
      <c r="J1725" s="41">
        <v>1105</v>
      </c>
      <c r="K1725" s="20">
        <v>2015</v>
      </c>
      <c r="L1725" s="24">
        <v>76.28</v>
      </c>
      <c r="M1725" s="110">
        <f>IF(L1725="",I1725,(MIN(J1725,(L1725*1.6*J1725))))</f>
        <v>1105</v>
      </c>
      <c r="N1725" s="111">
        <f>IF(M1725=0,0,(M1725/J1725))</f>
        <v>1</v>
      </c>
    </row>
    <row r="1726" spans="2:14">
      <c r="B1726" s="72">
        <v>127832</v>
      </c>
      <c r="C1726" s="47" t="str">
        <f>"LEE"</f>
        <v>LEE</v>
      </c>
      <c r="D1726" s="123">
        <f>SUMIF(B$3:B$3844,B1726,M$3:M$3844)/(SUMIF(B$3:B$3844,B1726,J$3:J$3844))</f>
        <v>0.92942971581155831</v>
      </c>
      <c r="E1726" s="47">
        <v>38263</v>
      </c>
      <c r="F1726" s="48" t="s">
        <v>1609</v>
      </c>
      <c r="G1726" s="47"/>
      <c r="H1726" s="47"/>
      <c r="I1726" s="40"/>
      <c r="J1726" s="40">
        <v>1122</v>
      </c>
      <c r="K1726" s="20">
        <v>2015</v>
      </c>
      <c r="L1726" s="24">
        <v>57.48</v>
      </c>
      <c r="M1726" s="110">
        <f>IF(L1726="",I1726,(MIN(J1726,(L1726*1.6*J1726))))</f>
        <v>1122</v>
      </c>
      <c r="N1726" s="111">
        <f>IF(M1726=0,0,(M1726/J1726))</f>
        <v>1</v>
      </c>
    </row>
    <row r="1727" spans="2:14">
      <c r="B1727" s="73">
        <v>127832</v>
      </c>
      <c r="C1727" s="23" t="str">
        <f>"LEE"</f>
        <v>LEE</v>
      </c>
      <c r="D1727" s="123">
        <f>SUMIF(B$3:B$3844,B1727,M$3:M$3844)/(SUMIF(B$3:B$3844,B1727,J$3:J$3844))</f>
        <v>0.92942971581155831</v>
      </c>
      <c r="E1727" s="23">
        <v>38210</v>
      </c>
      <c r="F1727" s="46" t="str">
        <f>"NORTH FORT MYERS HIGH SCHOOL"</f>
        <v>NORTH FORT MYERS HIGH SCHOOL</v>
      </c>
      <c r="G1727" s="23"/>
      <c r="H1727" s="23"/>
      <c r="I1727" s="41">
        <v>800</v>
      </c>
      <c r="J1727" s="41">
        <v>1668</v>
      </c>
      <c r="K1727" s="20"/>
      <c r="L1727" s="24"/>
      <c r="M1727" s="110">
        <f>IF(L1727="",I1727,(MIN(J1727,(L1727*1.6*J1727))))</f>
        <v>800</v>
      </c>
      <c r="N1727" s="111">
        <f>IF(M1727=0,0,(M1727/J1727))</f>
        <v>0.47961630695443647</v>
      </c>
    </row>
    <row r="1728" spans="2:14">
      <c r="B1728" s="72">
        <v>127832</v>
      </c>
      <c r="C1728" s="47" t="str">
        <f>"LEE"</f>
        <v>LEE</v>
      </c>
      <c r="D1728" s="123">
        <f>SUMIF(B$3:B$3844,B1728,M$3:M$3844)/(SUMIF(B$3:B$3844,B1728,J$3:J$3844))</f>
        <v>0.92942971581155831</v>
      </c>
      <c r="E1728" s="47">
        <v>16045442</v>
      </c>
      <c r="F1728" s="48" t="str">
        <f>"OAK HAMMOCK MIDDLE SCHOOL"</f>
        <v>OAK HAMMOCK MIDDLE SCHOOL</v>
      </c>
      <c r="G1728" s="47"/>
      <c r="H1728" s="47"/>
      <c r="I1728" s="40"/>
      <c r="J1728" s="40">
        <v>1167</v>
      </c>
      <c r="K1728" s="20">
        <v>2015</v>
      </c>
      <c r="L1728" s="24">
        <v>68.8</v>
      </c>
      <c r="M1728" s="110">
        <f>IF(L1728="",I1728,(MIN(J1728,(L1728*1.6*J1728))))</f>
        <v>1167</v>
      </c>
      <c r="N1728" s="111">
        <f>IF(M1728=0,0,(M1728/J1728))</f>
        <v>1</v>
      </c>
    </row>
    <row r="1729" spans="2:14">
      <c r="B1729" s="73">
        <v>127832</v>
      </c>
      <c r="C1729" s="23" t="str">
        <f>"LEE"</f>
        <v>LEE</v>
      </c>
      <c r="D1729" s="123">
        <f>SUMIF(B$3:B$3844,B1729,M$3:M$3844)/(SUMIF(B$3:B$3844,B1729,J$3:J$3844))</f>
        <v>0.92942971581155831</v>
      </c>
      <c r="E1729" s="23">
        <v>38228</v>
      </c>
      <c r="F1729" s="46" t="str">
        <f>"ORANGE RIVER ELEMENTARY SCHOOL"</f>
        <v>ORANGE RIVER ELEMENTARY SCHOOL</v>
      </c>
      <c r="G1729" s="23"/>
      <c r="H1729" s="23"/>
      <c r="I1729" s="41"/>
      <c r="J1729" s="41">
        <v>808</v>
      </c>
      <c r="K1729" s="20">
        <v>2015</v>
      </c>
      <c r="L1729" s="24">
        <v>87.12</v>
      </c>
      <c r="M1729" s="110">
        <f>IF(L1729="",I1729,(MIN(J1729,(L1729*1.6*J1729))))</f>
        <v>808</v>
      </c>
      <c r="N1729" s="111">
        <f>IF(M1729=0,0,(M1729/J1729))</f>
        <v>1</v>
      </c>
    </row>
    <row r="1730" spans="2:14">
      <c r="B1730" s="72">
        <v>127832</v>
      </c>
      <c r="C1730" s="47" t="str">
        <f>"LEE"</f>
        <v>LEE</v>
      </c>
      <c r="D1730" s="123">
        <f>SUMIF(B$3:B$3844,B1730,M$3:M$3844)/(SUMIF(B$3:B$3844,B1730,J$3:J$3844))</f>
        <v>0.92942971581155831</v>
      </c>
      <c r="E1730" s="47">
        <v>38207</v>
      </c>
      <c r="F1730" s="48" t="str">
        <f>"ORANGEWOOD ELEMENTARY SCHOOL"</f>
        <v>ORANGEWOOD ELEMENTARY SCHOOL</v>
      </c>
      <c r="G1730" s="47"/>
      <c r="H1730" s="47"/>
      <c r="I1730" s="40"/>
      <c r="J1730" s="40">
        <v>577</v>
      </c>
      <c r="K1730" s="20">
        <v>2015</v>
      </c>
      <c r="L1730" s="24">
        <v>68.8</v>
      </c>
      <c r="M1730" s="110">
        <f>IF(L1730="",I1730,(MIN(J1730,(L1730*1.6*J1730))))</f>
        <v>577</v>
      </c>
      <c r="N1730" s="111">
        <f>IF(M1730=0,0,(M1730/J1730))</f>
        <v>1</v>
      </c>
    </row>
    <row r="1731" spans="2:14">
      <c r="B1731" s="73">
        <v>127832</v>
      </c>
      <c r="C1731" s="23" t="str">
        <f>"LEE"</f>
        <v>LEE</v>
      </c>
      <c r="D1731" s="123">
        <f>SUMIF(B$3:B$3844,B1731,M$3:M$3844)/(SUMIF(B$3:B$3844,B1731,J$3:J$3844))</f>
        <v>0.92942971581155831</v>
      </c>
      <c r="E1731" s="23">
        <v>16045438</v>
      </c>
      <c r="F1731" s="46" t="str">
        <f>"PATRIOT ELEMENTARY SCHOOL"</f>
        <v>PATRIOT ELEMENTARY SCHOOL</v>
      </c>
      <c r="G1731" s="23"/>
      <c r="H1731" s="23"/>
      <c r="I1731" s="41"/>
      <c r="J1731" s="41">
        <v>667</v>
      </c>
      <c r="K1731" s="20">
        <v>2015</v>
      </c>
      <c r="L1731" s="24">
        <v>57.87</v>
      </c>
      <c r="M1731" s="110">
        <f>IF(L1731="",I1731,(MIN(J1731,(L1731*1.6*J1731))))</f>
        <v>667</v>
      </c>
      <c r="N1731" s="111">
        <f>IF(M1731=0,0,(M1731/J1731))</f>
        <v>1</v>
      </c>
    </row>
    <row r="1732" spans="2:14">
      <c r="B1732" s="72">
        <v>127832</v>
      </c>
      <c r="C1732" s="47" t="str">
        <f>"LEE"</f>
        <v>LEE</v>
      </c>
      <c r="D1732" s="123">
        <f>SUMIF(B$3:B$3844,B1732,M$3:M$3844)/(SUMIF(B$3:B$3844,B1732,J$3:J$3844))</f>
        <v>0.92942971581155831</v>
      </c>
      <c r="E1732" s="47">
        <v>38260</v>
      </c>
      <c r="F1732" s="48" t="s">
        <v>1610</v>
      </c>
      <c r="G1732" s="47"/>
      <c r="H1732" s="47"/>
      <c r="I1732" s="40"/>
      <c r="J1732" s="40">
        <v>859</v>
      </c>
      <c r="K1732" s="20">
        <v>2015</v>
      </c>
      <c r="L1732" s="24">
        <v>62.39</v>
      </c>
      <c r="M1732" s="110">
        <f>IF(L1732="",I1732,(MIN(J1732,(L1732*1.6*J1732))))</f>
        <v>859</v>
      </c>
      <c r="N1732" s="111">
        <f>IF(M1732=0,0,(M1732/J1732))</f>
        <v>1</v>
      </c>
    </row>
    <row r="1733" spans="2:14">
      <c r="B1733" s="73">
        <v>127832</v>
      </c>
      <c r="C1733" s="23" t="str">
        <f>"LEE"</f>
        <v>LEE</v>
      </c>
      <c r="D1733" s="123">
        <f>SUMIF(B$3:B$3844,B1733,M$3:M$3844)/(SUMIF(B$3:B$3844,B1733,J$3:J$3844))</f>
        <v>0.92942971581155831</v>
      </c>
      <c r="E1733" s="23">
        <v>38250</v>
      </c>
      <c r="F1733" s="46" t="str">
        <f>"PELICAN ELEMENTARY SCHOOL"</f>
        <v>PELICAN ELEMENTARY SCHOOL</v>
      </c>
      <c r="G1733" s="23"/>
      <c r="H1733" s="23"/>
      <c r="I1733" s="41"/>
      <c r="J1733" s="41">
        <v>919</v>
      </c>
      <c r="K1733" s="20">
        <v>2015</v>
      </c>
      <c r="L1733" s="24">
        <v>49.4</v>
      </c>
      <c r="M1733" s="110">
        <f>IF(L1733="",I1733,(MIN(J1733,(L1733*1.6*J1733))))</f>
        <v>919</v>
      </c>
      <c r="N1733" s="111">
        <f>IF(M1733=0,0,(M1733/J1733))</f>
        <v>1</v>
      </c>
    </row>
    <row r="1734" spans="2:14">
      <c r="B1734" s="72">
        <v>127832</v>
      </c>
      <c r="C1734" s="47" t="str">
        <f>"LEE"</f>
        <v>LEE</v>
      </c>
      <c r="D1734" s="123">
        <f>SUMIF(B$3:B$3844,B1734,M$3:M$3844)/(SUMIF(B$3:B$3844,B1734,J$3:J$3844))</f>
        <v>0.92942971581155831</v>
      </c>
      <c r="E1734" s="47">
        <v>38280</v>
      </c>
      <c r="F1734" s="48" t="str">
        <f>"PINE ISLAND ELEMENTARY SCHOOL"</f>
        <v>PINE ISLAND ELEMENTARY SCHOOL</v>
      </c>
      <c r="G1734" s="47"/>
      <c r="H1734" s="47"/>
      <c r="I1734" s="40"/>
      <c r="J1734" s="40">
        <v>219</v>
      </c>
      <c r="K1734" s="20">
        <v>2015</v>
      </c>
      <c r="L1734" s="24">
        <v>57.07</v>
      </c>
      <c r="M1734" s="110">
        <f>IF(L1734="",I1734,(MIN(J1734,(L1734*1.6*J1734))))</f>
        <v>219</v>
      </c>
      <c r="N1734" s="111">
        <f>IF(M1734=0,0,(M1734/J1734))</f>
        <v>1</v>
      </c>
    </row>
    <row r="1735" spans="2:14">
      <c r="B1735" s="73">
        <v>127832</v>
      </c>
      <c r="C1735" s="23" t="str">
        <f>"LEE"</f>
        <v>LEE</v>
      </c>
      <c r="D1735" s="123">
        <f>SUMIF(B$3:B$3844,B1735,M$3:M$3844)/(SUMIF(B$3:B$3844,B1735,J$3:J$3844))</f>
        <v>0.92942971581155831</v>
      </c>
      <c r="E1735" s="23">
        <v>38283</v>
      </c>
      <c r="F1735" s="46" t="str">
        <f>"PINEWOODS ELEMENTARY SCHOOL"</f>
        <v>PINEWOODS ELEMENTARY SCHOOL</v>
      </c>
      <c r="G1735" s="23"/>
      <c r="H1735" s="23"/>
      <c r="I1735" s="41"/>
      <c r="J1735" s="41">
        <v>1067</v>
      </c>
      <c r="K1735" s="20">
        <v>2015</v>
      </c>
      <c r="L1735" s="24">
        <v>36.08</v>
      </c>
      <c r="M1735" s="110">
        <f>IF(L1735="",I1735,(MIN(J1735,(L1735*1.6*J1735))))</f>
        <v>1067</v>
      </c>
      <c r="N1735" s="111">
        <f>IF(M1735=0,0,(M1735/J1735))</f>
        <v>1</v>
      </c>
    </row>
    <row r="1736" spans="2:14">
      <c r="B1736" s="72">
        <v>127832</v>
      </c>
      <c r="C1736" s="47" t="str">
        <f>"LEE"</f>
        <v>LEE</v>
      </c>
      <c r="D1736" s="123">
        <f>SUMIF(B$3:B$3844,B1736,M$3:M$3844)/(SUMIF(B$3:B$3844,B1736,J$3:J$3844))</f>
        <v>0.92942971581155831</v>
      </c>
      <c r="E1736" s="47">
        <v>202468</v>
      </c>
      <c r="F1736" s="48" t="str">
        <f>"PRICE HALFWAY HOUSE"</f>
        <v>PRICE HALFWAY HOUSE</v>
      </c>
      <c r="G1736" s="47"/>
      <c r="H1736" s="47"/>
      <c r="I1736" s="40"/>
      <c r="J1736" s="40">
        <v>29</v>
      </c>
      <c r="K1736" s="20"/>
      <c r="L1736" s="24"/>
      <c r="M1736" s="110">
        <f>IF(L1736="",I1736,(MIN(J1736,(L1736*1.6*J1736))))</f>
        <v>0</v>
      </c>
      <c r="N1736" s="111">
        <f>IF(M1736=0,0,(M1736/J1736))</f>
        <v>0</v>
      </c>
    </row>
    <row r="1737" spans="2:14">
      <c r="B1737" s="73">
        <v>127832</v>
      </c>
      <c r="C1737" s="23" t="str">
        <f>"LEE"</f>
        <v>LEE</v>
      </c>
      <c r="D1737" s="123">
        <f>SUMIF(B$3:B$3844,B1737,M$3:M$3844)/(SUMIF(B$3:B$3844,B1737,J$3:J$3844))</f>
        <v>0.92942971581155831</v>
      </c>
      <c r="E1737" s="23">
        <v>16027126</v>
      </c>
      <c r="F1737" s="46" t="s">
        <v>1611</v>
      </c>
      <c r="G1737" s="23"/>
      <c r="H1737" s="23"/>
      <c r="I1737" s="41"/>
      <c r="J1737" s="41">
        <v>724</v>
      </c>
      <c r="K1737" s="20">
        <v>2015</v>
      </c>
      <c r="L1737" s="24">
        <v>82.87</v>
      </c>
      <c r="M1737" s="110">
        <f>IF(L1737="",I1737,(MIN(J1737,(L1737*1.6*J1737))))</f>
        <v>724</v>
      </c>
      <c r="N1737" s="111">
        <f>IF(M1737=0,0,(M1737/J1737))</f>
        <v>1</v>
      </c>
    </row>
    <row r="1738" spans="2:14">
      <c r="B1738" s="72">
        <v>127832</v>
      </c>
      <c r="C1738" s="47" t="str">
        <f>"LEE"</f>
        <v>LEE</v>
      </c>
      <c r="D1738" s="123">
        <f>SUMIF(B$3:B$3844,B1738,M$3:M$3844)/(SUMIF(B$3:B$3844,B1738,J$3:J$3844))</f>
        <v>0.92942971581155831</v>
      </c>
      <c r="E1738" s="47">
        <v>16027127</v>
      </c>
      <c r="F1738" s="48" t="s">
        <v>1612</v>
      </c>
      <c r="G1738" s="47"/>
      <c r="H1738" s="47"/>
      <c r="I1738" s="40"/>
      <c r="J1738" s="40">
        <v>841</v>
      </c>
      <c r="K1738" s="20">
        <v>2015</v>
      </c>
      <c r="L1738" s="24">
        <v>44.58</v>
      </c>
      <c r="M1738" s="110">
        <f>IF(L1738="",I1738,(MIN(J1738,(L1738*1.6*J1738))))</f>
        <v>841</v>
      </c>
      <c r="N1738" s="111">
        <f>IF(M1738=0,0,(M1738/J1738))</f>
        <v>1</v>
      </c>
    </row>
    <row r="1739" spans="2:14">
      <c r="B1739" s="73">
        <v>127832</v>
      </c>
      <c r="C1739" s="23" t="str">
        <f>"LEE"</f>
        <v>LEE</v>
      </c>
      <c r="D1739" s="123">
        <f>SUMIF(B$3:B$3844,B1739,M$3:M$3844)/(SUMIF(B$3:B$3844,B1739,J$3:J$3844))</f>
        <v>0.92942971581155831</v>
      </c>
      <c r="E1739" s="23">
        <v>16038561</v>
      </c>
      <c r="F1739" s="46" t="str">
        <f>"RIVER HALL ELEMENTARY SCHOOL"</f>
        <v>RIVER HALL ELEMENTARY SCHOOL</v>
      </c>
      <c r="G1739" s="23"/>
      <c r="H1739" s="23"/>
      <c r="I1739" s="41"/>
      <c r="J1739" s="41">
        <v>963</v>
      </c>
      <c r="K1739" s="20">
        <v>2015</v>
      </c>
      <c r="L1739" s="24">
        <v>61.47</v>
      </c>
      <c r="M1739" s="110">
        <f>IF(L1739="",I1739,(MIN(J1739,(L1739*1.6*J1739))))</f>
        <v>963</v>
      </c>
      <c r="N1739" s="111">
        <f>IF(M1739=0,0,(M1739/J1739))</f>
        <v>1</v>
      </c>
    </row>
    <row r="1740" spans="2:14">
      <c r="B1740" s="72">
        <v>127832</v>
      </c>
      <c r="C1740" s="47" t="str">
        <f>"LEE"</f>
        <v>LEE</v>
      </c>
      <c r="D1740" s="123">
        <f>SUMIF(B$3:B$3844,B1740,M$3:M$3844)/(SUMIF(B$3:B$3844,B1740,J$3:J$3844))</f>
        <v>0.92942971581155831</v>
      </c>
      <c r="E1740" s="47">
        <v>38226</v>
      </c>
      <c r="F1740" s="48" t="str">
        <f>"RIVERDALE HIGH SCHOOL"</f>
        <v>RIVERDALE HIGH SCHOOL</v>
      </c>
      <c r="G1740" s="47"/>
      <c r="H1740" s="47"/>
      <c r="I1740" s="40"/>
      <c r="J1740" s="40">
        <v>2053</v>
      </c>
      <c r="K1740" s="20">
        <v>2015</v>
      </c>
      <c r="L1740" s="24">
        <v>40.229999999999997</v>
      </c>
      <c r="M1740" s="110">
        <f>IF(L1740="",I1740,(MIN(J1740,(L1740*1.6*J1740))))</f>
        <v>2053</v>
      </c>
      <c r="N1740" s="111">
        <f>IF(M1740=0,0,(M1740/J1740))</f>
        <v>1</v>
      </c>
    </row>
    <row r="1741" spans="2:14">
      <c r="B1741" s="73">
        <v>127832</v>
      </c>
      <c r="C1741" s="23" t="str">
        <f>"LEE"</f>
        <v>LEE</v>
      </c>
      <c r="D1741" s="123">
        <f>SUMIF(B$3:B$3844,B1741,M$3:M$3844)/(SUMIF(B$3:B$3844,B1741,J$3:J$3844))</f>
        <v>0.92942971581155831</v>
      </c>
      <c r="E1741" s="23">
        <v>38253</v>
      </c>
      <c r="F1741" s="46" t="s">
        <v>1613</v>
      </c>
      <c r="G1741" s="23"/>
      <c r="H1741" s="23"/>
      <c r="I1741" s="41"/>
      <c r="J1741" s="41">
        <v>125</v>
      </c>
      <c r="K1741" s="20">
        <v>2015</v>
      </c>
      <c r="L1741" s="24">
        <v>87.2</v>
      </c>
      <c r="M1741" s="110">
        <f>IF(L1741="",I1741,(MIN(J1741,(L1741*1.6*J1741))))</f>
        <v>125</v>
      </c>
      <c r="N1741" s="111">
        <f>IF(M1741=0,0,(M1741/J1741))</f>
        <v>1</v>
      </c>
    </row>
    <row r="1742" spans="2:14">
      <c r="B1742" s="72">
        <v>127832</v>
      </c>
      <c r="C1742" s="47" t="str">
        <f>"LEE"</f>
        <v>LEE</v>
      </c>
      <c r="D1742" s="123">
        <f>SUMIF(B$3:B$3844,B1742,M$3:M$3844)/(SUMIF(B$3:B$3844,B1742,J$3:J$3844))</f>
        <v>0.92942971581155831</v>
      </c>
      <c r="E1742" s="47">
        <v>38241</v>
      </c>
      <c r="F1742" s="48" t="s">
        <v>1614</v>
      </c>
      <c r="G1742" s="47"/>
      <c r="H1742" s="47"/>
      <c r="I1742" s="40"/>
      <c r="J1742" s="40">
        <v>980</v>
      </c>
      <c r="K1742" s="20">
        <v>2015</v>
      </c>
      <c r="L1742" s="24">
        <v>62.55</v>
      </c>
      <c r="M1742" s="110">
        <f>IF(L1742="",I1742,(MIN(J1742,(L1742*1.6*J1742))))</f>
        <v>980</v>
      </c>
      <c r="N1742" s="111">
        <f>IF(M1742=0,0,(M1742/J1742))</f>
        <v>1</v>
      </c>
    </row>
    <row r="1743" spans="2:14">
      <c r="B1743" s="73">
        <v>127832</v>
      </c>
      <c r="C1743" s="23" t="str">
        <f>"LEE"</f>
        <v>LEE</v>
      </c>
      <c r="D1743" s="123">
        <f>SUMIF(B$3:B$3844,B1743,M$3:M$3844)/(SUMIF(B$3:B$3844,B1743,J$3:J$3844))</f>
        <v>0.92942971581155831</v>
      </c>
      <c r="E1743" s="23">
        <v>38332</v>
      </c>
      <c r="F1743" s="46" t="str">
        <f>"SKYLINE ELEMENTARY SCHOOL"</f>
        <v>SKYLINE ELEMENTARY SCHOOL</v>
      </c>
      <c r="G1743" s="23"/>
      <c r="H1743" s="23"/>
      <c r="I1743" s="41"/>
      <c r="J1743" s="41">
        <v>887</v>
      </c>
      <c r="K1743" s="20">
        <v>2015</v>
      </c>
      <c r="L1743" s="24">
        <v>59.75</v>
      </c>
      <c r="M1743" s="110">
        <f>IF(L1743="",I1743,(MIN(J1743,(L1743*1.6*J1743))))</f>
        <v>887</v>
      </c>
      <c r="N1743" s="111">
        <f>IF(M1743=0,0,(M1743/J1743))</f>
        <v>1</v>
      </c>
    </row>
    <row r="1744" spans="2:14">
      <c r="B1744" s="72">
        <v>127832</v>
      </c>
      <c r="C1744" s="47" t="str">
        <f>"LEE"</f>
        <v>LEE</v>
      </c>
      <c r="D1744" s="123">
        <f>SUMIF(B$3:B$3844,B1744,M$3:M$3844)/(SUMIF(B$3:B$3844,B1744,J$3:J$3844))</f>
        <v>0.92942971581155831</v>
      </c>
      <c r="E1744" s="47">
        <v>16027139</v>
      </c>
      <c r="F1744" s="48" t="str">
        <f>"SOUTH FORT MYERS HIGH SCHOOL"</f>
        <v>SOUTH FORT MYERS HIGH SCHOOL</v>
      </c>
      <c r="G1744" s="47"/>
      <c r="H1744" s="47"/>
      <c r="I1744" s="40"/>
      <c r="J1744" s="40">
        <v>2031</v>
      </c>
      <c r="K1744" s="20">
        <v>2015</v>
      </c>
      <c r="L1744" s="24">
        <v>49.82</v>
      </c>
      <c r="M1744" s="110">
        <f>IF(L1744="",I1744,(MIN(J1744,(L1744*1.6*J1744))))</f>
        <v>2031</v>
      </c>
      <c r="N1744" s="111">
        <f>IF(M1744=0,0,(M1744/J1744))</f>
        <v>1</v>
      </c>
    </row>
    <row r="1745" spans="2:14" ht="30">
      <c r="B1745" s="73">
        <v>127832</v>
      </c>
      <c r="C1745" s="23" t="str">
        <f>"LEE"</f>
        <v>LEE</v>
      </c>
      <c r="D1745" s="123">
        <f>SUMIF(B$3:B$3844,B1745,M$3:M$3844)/(SUMIF(B$3:B$3844,B1745,J$3:J$3844))</f>
        <v>0.92942971581155831</v>
      </c>
      <c r="E1745" s="23">
        <v>202470</v>
      </c>
      <c r="F1745" s="46" t="s">
        <v>1615</v>
      </c>
      <c r="G1745" s="23"/>
      <c r="H1745" s="23"/>
      <c r="I1745" s="41">
        <v>12</v>
      </c>
      <c r="J1745" s="41">
        <v>50</v>
      </c>
      <c r="K1745" s="20"/>
      <c r="L1745" s="24"/>
      <c r="M1745" s="110">
        <f>IF(L1745="",I1745,(MIN(J1745,(L1745*1.6*J1745))))</f>
        <v>12</v>
      </c>
      <c r="N1745" s="111">
        <f>IF(M1745=0,0,(M1745/J1745))</f>
        <v>0.24</v>
      </c>
    </row>
    <row r="1746" spans="2:14">
      <c r="B1746" s="72">
        <v>127832</v>
      </c>
      <c r="C1746" s="47" t="str">
        <f>"LEE"</f>
        <v>LEE</v>
      </c>
      <c r="D1746" s="123">
        <f>SUMIF(B$3:B$3844,B1746,M$3:M$3844)/(SUMIF(B$3:B$3844,B1746,J$3:J$3844))</f>
        <v>0.92942971581155831</v>
      </c>
      <c r="E1746" s="47">
        <v>212232</v>
      </c>
      <c r="F1746" s="48" t="s">
        <v>1616</v>
      </c>
      <c r="G1746" s="47"/>
      <c r="H1746" s="47"/>
      <c r="I1746" s="40"/>
      <c r="J1746" s="40">
        <v>0</v>
      </c>
      <c r="K1746" s="20"/>
      <c r="L1746" s="24"/>
      <c r="M1746" s="110">
        <f>IF(L1746="",I1746,(MIN(J1746,(L1746*1.6*J1746))))</f>
        <v>0</v>
      </c>
      <c r="N1746" s="111">
        <f>IF(M1746=0,0,(M1746/J1746))</f>
        <v>0</v>
      </c>
    </row>
    <row r="1747" spans="2:14">
      <c r="B1747" s="73">
        <v>127832</v>
      </c>
      <c r="C1747" s="23" t="str">
        <f>"LEE"</f>
        <v>LEE</v>
      </c>
      <c r="D1747" s="123">
        <f>SUMIF(B$3:B$3844,B1747,M$3:M$3844)/(SUMIF(B$3:B$3844,B1747,J$3:J$3844))</f>
        <v>0.92942971581155831</v>
      </c>
      <c r="E1747" s="23">
        <v>38375</v>
      </c>
      <c r="F1747" s="46" t="str">
        <f>"SPRING CREEK ELEMENTARY SCHOOL"</f>
        <v>SPRING CREEK ELEMENTARY SCHOOL</v>
      </c>
      <c r="G1747" s="23"/>
      <c r="H1747" s="23"/>
      <c r="I1747" s="41"/>
      <c r="J1747" s="41">
        <v>750</v>
      </c>
      <c r="K1747" s="20">
        <v>2015</v>
      </c>
      <c r="L1747" s="24">
        <v>71.2</v>
      </c>
      <c r="M1747" s="110">
        <f>IF(L1747="",I1747,(MIN(J1747,(L1747*1.6*J1747))))</f>
        <v>750</v>
      </c>
      <c r="N1747" s="111">
        <f>IF(M1747=0,0,(M1747/J1747))</f>
        <v>1</v>
      </c>
    </row>
    <row r="1748" spans="2:14">
      <c r="B1748" s="72">
        <v>127832</v>
      </c>
      <c r="C1748" s="47" t="str">
        <f>"LEE"</f>
        <v>LEE</v>
      </c>
      <c r="D1748" s="123">
        <f>SUMIF(B$3:B$3844,B1748,M$3:M$3844)/(SUMIF(B$3:B$3844,B1748,J$3:J$3844))</f>
        <v>0.92942971581155831</v>
      </c>
      <c r="E1748" s="47">
        <v>38317</v>
      </c>
      <c r="F1748" s="48" t="str">
        <f>"SUNSHINE ELEMENTARY SCHOOL"</f>
        <v>SUNSHINE ELEMENTARY SCHOOL</v>
      </c>
      <c r="G1748" s="47"/>
      <c r="H1748" s="47"/>
      <c r="I1748" s="40"/>
      <c r="J1748" s="40">
        <v>1175</v>
      </c>
      <c r="K1748" s="20">
        <v>2015</v>
      </c>
      <c r="L1748" s="24">
        <v>75.31</v>
      </c>
      <c r="M1748" s="110">
        <f>IF(L1748="",I1748,(MIN(J1748,(L1748*1.6*J1748))))</f>
        <v>1175</v>
      </c>
      <c r="N1748" s="111">
        <f>IF(M1748=0,0,(M1748/J1748))</f>
        <v>1</v>
      </c>
    </row>
    <row r="1749" spans="2:14" ht="30">
      <c r="B1749" s="73">
        <v>127832</v>
      </c>
      <c r="C1749" s="23" t="str">
        <f>"LEE"</f>
        <v>LEE</v>
      </c>
      <c r="D1749" s="123">
        <f>SUMIF(B$3:B$3844,B1749,M$3:M$3844)/(SUMIF(B$3:B$3844,B1749,J$3:J$3844))</f>
        <v>0.92942971581155831</v>
      </c>
      <c r="E1749" s="23">
        <v>16074199</v>
      </c>
      <c r="F1749" s="46" t="s">
        <v>1617</v>
      </c>
      <c r="G1749" s="23"/>
      <c r="H1749" s="23"/>
      <c r="I1749" s="41">
        <v>4</v>
      </c>
      <c r="J1749" s="41">
        <v>17</v>
      </c>
      <c r="K1749" s="20"/>
      <c r="L1749" s="24"/>
      <c r="M1749" s="110">
        <f>IF(L1749="",I1749,(MIN(J1749,(L1749*1.6*J1749))))</f>
        <v>4</v>
      </c>
      <c r="N1749" s="111">
        <f>IF(M1749=0,0,(M1749/J1749))</f>
        <v>0.23529411764705882</v>
      </c>
    </row>
    <row r="1750" spans="2:14">
      <c r="B1750" s="72">
        <v>127832</v>
      </c>
      <c r="C1750" s="47" t="str">
        <f>"LEE"</f>
        <v>LEE</v>
      </c>
      <c r="D1750" s="123">
        <f>SUMIF(B$3:B$3844,B1750,M$3:M$3844)/(SUMIF(B$3:B$3844,B1750,J$3:J$3844))</f>
        <v>0.92942971581155831</v>
      </c>
      <c r="E1750" s="47">
        <v>38276</v>
      </c>
      <c r="F1750" s="48" t="str">
        <f>"TANGLEWOOD ELEMENTARY SCHOOL"</f>
        <v>TANGLEWOOD ELEMENTARY SCHOOL</v>
      </c>
      <c r="G1750" s="47"/>
      <c r="H1750" s="47"/>
      <c r="I1750" s="40"/>
      <c r="J1750" s="40">
        <v>752</v>
      </c>
      <c r="K1750" s="20">
        <v>2015</v>
      </c>
      <c r="L1750" s="24">
        <v>47.87</v>
      </c>
      <c r="M1750" s="110">
        <f>IF(L1750="",I1750,(MIN(J1750,(L1750*1.6*J1750))))</f>
        <v>752</v>
      </c>
      <c r="N1750" s="111">
        <f>IF(M1750=0,0,(M1750/J1750))</f>
        <v>1</v>
      </c>
    </row>
    <row r="1751" spans="2:14">
      <c r="B1751" s="73">
        <v>127832</v>
      </c>
      <c r="C1751" s="23" t="str">
        <f>"LEE"</f>
        <v>LEE</v>
      </c>
      <c r="D1751" s="123">
        <f>SUMIF(B$3:B$3844,B1751,M$3:M$3844)/(SUMIF(B$3:B$3844,B1751,J$3:J$3844))</f>
        <v>0.92942971581155831</v>
      </c>
      <c r="E1751" s="23">
        <v>16077377</v>
      </c>
      <c r="F1751" s="46" t="str">
        <f>"THE ALVA SCHOOL"</f>
        <v>THE ALVA SCHOOL</v>
      </c>
      <c r="G1751" s="23"/>
      <c r="H1751" s="23"/>
      <c r="I1751" s="41"/>
      <c r="J1751" s="41">
        <v>987</v>
      </c>
      <c r="K1751" s="20">
        <v>2015</v>
      </c>
      <c r="L1751" s="24">
        <v>48.73</v>
      </c>
      <c r="M1751" s="110">
        <f>IF(L1751="",I1751,(MIN(J1751,(L1751*1.6*J1751))))</f>
        <v>987</v>
      </c>
      <c r="N1751" s="111">
        <f>IF(M1751=0,0,(M1751/J1751))</f>
        <v>1</v>
      </c>
    </row>
    <row r="1752" spans="2:14">
      <c r="B1752" s="72">
        <v>127832</v>
      </c>
      <c r="C1752" s="47" t="str">
        <f>"LEE"</f>
        <v>LEE</v>
      </c>
      <c r="D1752" s="123">
        <f>SUMIF(B$3:B$3844,B1752,M$3:M$3844)/(SUMIF(B$3:B$3844,B1752,J$3:J$3844))</f>
        <v>0.92942971581155831</v>
      </c>
      <c r="E1752" s="47">
        <v>38315</v>
      </c>
      <c r="F1752" s="48" t="str">
        <f>"THE SANIBEL SCHOOL"</f>
        <v>THE SANIBEL SCHOOL</v>
      </c>
      <c r="G1752" s="47"/>
      <c r="H1752" s="47"/>
      <c r="I1752" s="40">
        <v>63</v>
      </c>
      <c r="J1752" s="40">
        <v>325</v>
      </c>
      <c r="K1752" s="20"/>
      <c r="L1752" s="24"/>
      <c r="M1752" s="110">
        <f>IF(L1752="",I1752,(MIN(J1752,(L1752*1.6*J1752))))</f>
        <v>63</v>
      </c>
      <c r="N1752" s="111">
        <f>IF(M1752=0,0,(M1752/J1752))</f>
        <v>0.19384615384615383</v>
      </c>
    </row>
    <row r="1753" spans="2:14">
      <c r="B1753" s="73">
        <v>127832</v>
      </c>
      <c r="C1753" s="23" t="str">
        <f>"LEE"</f>
        <v>LEE</v>
      </c>
      <c r="D1753" s="123">
        <f>SUMIF(B$3:B$3844,B1753,M$3:M$3844)/(SUMIF(B$3:B$3844,B1753,J$3:J$3844))</f>
        <v>0.92942971581155831</v>
      </c>
      <c r="E1753" s="23">
        <v>38243</v>
      </c>
      <c r="F1753" s="46" t="str">
        <f>"THREE OAKS ELEMENTARY SCHOOL"</f>
        <v>THREE OAKS ELEMENTARY SCHOOL</v>
      </c>
      <c r="G1753" s="23"/>
      <c r="H1753" s="23"/>
      <c r="I1753" s="41">
        <v>343</v>
      </c>
      <c r="J1753" s="41">
        <v>897</v>
      </c>
      <c r="K1753" s="20"/>
      <c r="L1753" s="24"/>
      <c r="M1753" s="110">
        <f>IF(L1753="",I1753,(MIN(J1753,(L1753*1.6*J1753))))</f>
        <v>343</v>
      </c>
      <c r="N1753" s="111">
        <f>IF(M1753=0,0,(M1753/J1753))</f>
        <v>0.38238573021181715</v>
      </c>
    </row>
    <row r="1754" spans="2:14">
      <c r="B1754" s="72">
        <v>127832</v>
      </c>
      <c r="C1754" s="47" t="str">
        <f>"LEE"</f>
        <v>LEE</v>
      </c>
      <c r="D1754" s="123">
        <f>SUMIF(B$3:B$3844,B1754,M$3:M$3844)/(SUMIF(B$3:B$3844,B1754,J$3:J$3844))</f>
        <v>0.92942971581155831</v>
      </c>
      <c r="E1754" s="47">
        <v>38242</v>
      </c>
      <c r="F1754" s="48" t="str">
        <f>"THREE OAKS MIDDLE SCHOOL"</f>
        <v>THREE OAKS MIDDLE SCHOOL</v>
      </c>
      <c r="G1754" s="47"/>
      <c r="H1754" s="47"/>
      <c r="I1754" s="40">
        <v>465</v>
      </c>
      <c r="J1754" s="40">
        <v>983</v>
      </c>
      <c r="K1754" s="20"/>
      <c r="L1754" s="24"/>
      <c r="M1754" s="110">
        <f>IF(L1754="",I1754,(MIN(J1754,(L1754*1.6*J1754))))</f>
        <v>465</v>
      </c>
      <c r="N1754" s="111">
        <f>IF(M1754=0,0,(M1754/J1754))</f>
        <v>0.47304170905391657</v>
      </c>
    </row>
    <row r="1755" spans="2:14">
      <c r="B1755" s="73">
        <v>127832</v>
      </c>
      <c r="C1755" s="23" t="str">
        <f>"LEE"</f>
        <v>LEE</v>
      </c>
      <c r="D1755" s="123">
        <f>SUMIF(B$3:B$3844,B1755,M$3:M$3844)/(SUMIF(B$3:B$3844,B1755,J$3:J$3844))</f>
        <v>0.92942971581155831</v>
      </c>
      <c r="E1755" s="23">
        <v>38229</v>
      </c>
      <c r="F1755" s="46" t="str">
        <f>"TICE ELEMENTARY SCHOOL"</f>
        <v>TICE ELEMENTARY SCHOOL</v>
      </c>
      <c r="G1755" s="23"/>
      <c r="H1755" s="23"/>
      <c r="I1755" s="41"/>
      <c r="J1755" s="41">
        <v>564</v>
      </c>
      <c r="K1755" s="20">
        <v>2015</v>
      </c>
      <c r="L1755" s="24">
        <v>88.82</v>
      </c>
      <c r="M1755" s="110">
        <f>IF(L1755="",I1755,(MIN(J1755,(L1755*1.6*J1755))))</f>
        <v>564</v>
      </c>
      <c r="N1755" s="111">
        <f>IF(M1755=0,0,(M1755/J1755))</f>
        <v>1</v>
      </c>
    </row>
    <row r="1756" spans="2:14">
      <c r="B1756" s="72">
        <v>127832</v>
      </c>
      <c r="C1756" s="47" t="str">
        <f>"LEE"</f>
        <v>LEE</v>
      </c>
      <c r="D1756" s="123">
        <f>SUMIF(B$3:B$3844,B1756,M$3:M$3844)/(SUMIF(B$3:B$3844,B1756,J$3:J$3844))</f>
        <v>0.92942971581155831</v>
      </c>
      <c r="E1756" s="47">
        <v>16074054</v>
      </c>
      <c r="F1756" s="48" t="s">
        <v>1618</v>
      </c>
      <c r="G1756" s="47"/>
      <c r="H1756" s="47"/>
      <c r="I1756" s="40"/>
      <c r="J1756" s="40">
        <v>938</v>
      </c>
      <c r="K1756" s="20">
        <v>2015</v>
      </c>
      <c r="L1756" s="24">
        <v>69.72</v>
      </c>
      <c r="M1756" s="110">
        <f>IF(L1756="",I1756,(MIN(J1756,(L1756*1.6*J1756))))</f>
        <v>938</v>
      </c>
      <c r="N1756" s="111">
        <f>IF(M1756=0,0,(M1756/J1756))</f>
        <v>1</v>
      </c>
    </row>
    <row r="1757" spans="2:14">
      <c r="B1757" s="73">
        <v>127832</v>
      </c>
      <c r="C1757" s="23" t="str">
        <f>"LEE"</f>
        <v>LEE</v>
      </c>
      <c r="D1757" s="123">
        <f>SUMIF(B$3:B$3844,B1757,M$3:M$3844)/(SUMIF(B$3:B$3844,B1757,J$3:J$3844))</f>
        <v>0.92942971581155831</v>
      </c>
      <c r="E1757" s="23">
        <v>14721810</v>
      </c>
      <c r="F1757" s="46" t="str">
        <f>"TRAFALGAR ELEMENTARY SCHOOL"</f>
        <v>TRAFALGAR ELEMENTARY SCHOOL</v>
      </c>
      <c r="G1757" s="23"/>
      <c r="H1757" s="23"/>
      <c r="I1757" s="41"/>
      <c r="J1757" s="41">
        <v>799</v>
      </c>
      <c r="K1757" s="20">
        <v>2015</v>
      </c>
      <c r="L1757" s="24">
        <v>35.54</v>
      </c>
      <c r="M1757" s="110">
        <f>IF(L1757="",I1757,(MIN(J1757,(L1757*1.6*J1757))))</f>
        <v>799</v>
      </c>
      <c r="N1757" s="111">
        <f>IF(M1757=0,0,(M1757/J1757))</f>
        <v>1</v>
      </c>
    </row>
    <row r="1758" spans="2:14">
      <c r="B1758" s="72">
        <v>127832</v>
      </c>
      <c r="C1758" s="47" t="str">
        <f>"LEE"</f>
        <v>LEE</v>
      </c>
      <c r="D1758" s="123">
        <f>SUMIF(B$3:B$3844,B1758,M$3:M$3844)/(SUMIF(B$3:B$3844,B1758,J$3:J$3844))</f>
        <v>0.92942971581155831</v>
      </c>
      <c r="E1758" s="47">
        <v>38331</v>
      </c>
      <c r="F1758" s="48" t="str">
        <f>"TRAFALGAR MIDDLE SCHOOL"</f>
        <v>TRAFALGAR MIDDLE SCHOOL</v>
      </c>
      <c r="G1758" s="47"/>
      <c r="H1758" s="47"/>
      <c r="I1758" s="40"/>
      <c r="J1758" s="40">
        <v>899</v>
      </c>
      <c r="K1758" s="20">
        <v>2015</v>
      </c>
      <c r="L1758" s="24">
        <v>33.92</v>
      </c>
      <c r="M1758" s="110">
        <f>IF(L1758="",I1758,(MIN(J1758,(L1758*1.6*J1758))))</f>
        <v>899</v>
      </c>
      <c r="N1758" s="111">
        <f>IF(M1758=0,0,(M1758/J1758))</f>
        <v>1</v>
      </c>
    </row>
    <row r="1759" spans="2:14">
      <c r="B1759" s="73">
        <v>127832</v>
      </c>
      <c r="C1759" s="23" t="str">
        <f>"LEE"</f>
        <v>LEE</v>
      </c>
      <c r="D1759" s="123">
        <f>SUMIF(B$3:B$3844,B1759,M$3:M$3844)/(SUMIF(B$3:B$3844,B1759,J$3:J$3844))</f>
        <v>0.92942971581155831</v>
      </c>
      <c r="E1759" s="23">
        <v>16045439</v>
      </c>
      <c r="F1759" s="46" t="str">
        <f>"TREELINE ELEMENTARY SCHOOL"</f>
        <v>TREELINE ELEMENTARY SCHOOL</v>
      </c>
      <c r="G1759" s="23"/>
      <c r="H1759" s="23"/>
      <c r="I1759" s="41"/>
      <c r="J1759" s="41">
        <v>1022</v>
      </c>
      <c r="K1759" s="20">
        <v>2015</v>
      </c>
      <c r="L1759" s="24">
        <v>55.47</v>
      </c>
      <c r="M1759" s="110">
        <f>IF(L1759="",I1759,(MIN(J1759,(L1759*1.6*J1759))))</f>
        <v>1022</v>
      </c>
      <c r="N1759" s="111">
        <f>IF(M1759=0,0,(M1759/J1759))</f>
        <v>1</v>
      </c>
    </row>
    <row r="1760" spans="2:14">
      <c r="B1760" s="72">
        <v>127832</v>
      </c>
      <c r="C1760" s="47" t="str">
        <f>"LEE"</f>
        <v>LEE</v>
      </c>
      <c r="D1760" s="123">
        <f>SUMIF(B$3:B$3844,B1760,M$3:M$3844)/(SUMIF(B$3:B$3844,B1760,J$3:J$3844))</f>
        <v>0.92942971581155831</v>
      </c>
      <c r="E1760" s="47">
        <v>38211</v>
      </c>
      <c r="F1760" s="48" t="str">
        <f>"TROPIC ISLES ELEMENTARY SCHOOL"</f>
        <v>TROPIC ISLES ELEMENTARY SCHOOL</v>
      </c>
      <c r="G1760" s="47"/>
      <c r="H1760" s="47"/>
      <c r="I1760" s="40"/>
      <c r="J1760" s="40">
        <v>956</v>
      </c>
      <c r="K1760" s="20">
        <v>2015</v>
      </c>
      <c r="L1760" s="24">
        <v>68.930000000000007</v>
      </c>
      <c r="M1760" s="110">
        <f>IF(L1760="",I1760,(MIN(J1760,(L1760*1.6*J1760))))</f>
        <v>956</v>
      </c>
      <c r="N1760" s="111">
        <f>IF(M1760=0,0,(M1760/J1760))</f>
        <v>1</v>
      </c>
    </row>
    <row r="1761" spans="2:14">
      <c r="B1761" s="73">
        <v>127832</v>
      </c>
      <c r="C1761" s="23" t="str">
        <f>"LEE"</f>
        <v>LEE</v>
      </c>
      <c r="D1761" s="123">
        <f>SUMIF(B$3:B$3844,B1761,M$3:M$3844)/(SUMIF(B$3:B$3844,B1761,J$3:J$3844))</f>
        <v>0.92942971581155831</v>
      </c>
      <c r="E1761" s="23">
        <v>14720792</v>
      </c>
      <c r="F1761" s="46" t="str">
        <f>"VARSITY LAKES MIDDLE SCHOOL"</f>
        <v>VARSITY LAKES MIDDLE SCHOOL</v>
      </c>
      <c r="G1761" s="23"/>
      <c r="H1761" s="23"/>
      <c r="I1761" s="41"/>
      <c r="J1761" s="41">
        <v>1069</v>
      </c>
      <c r="K1761" s="20">
        <v>2015</v>
      </c>
      <c r="L1761" s="24">
        <v>61.73</v>
      </c>
      <c r="M1761" s="110">
        <f>IF(L1761="",I1761,(MIN(J1761,(L1761*1.6*J1761))))</f>
        <v>1069</v>
      </c>
      <c r="N1761" s="111">
        <f>IF(M1761=0,0,(M1761/J1761))</f>
        <v>1</v>
      </c>
    </row>
    <row r="1762" spans="2:14">
      <c r="B1762" s="72">
        <v>127832</v>
      </c>
      <c r="C1762" s="47" t="str">
        <f>"LEE"</f>
        <v>LEE</v>
      </c>
      <c r="D1762" s="123">
        <f>SUMIF(B$3:B$3844,B1762,M$3:M$3844)/(SUMIF(B$3:B$3844,B1762,J$3:J$3844))</f>
        <v>0.92942971581155831</v>
      </c>
      <c r="E1762" s="47">
        <v>14720755</v>
      </c>
      <c r="F1762" s="48" t="s">
        <v>1619</v>
      </c>
      <c r="G1762" s="47"/>
      <c r="H1762" s="47"/>
      <c r="I1762" s="40"/>
      <c r="J1762" s="40">
        <v>1590</v>
      </c>
      <c r="K1762" s="20">
        <v>2015</v>
      </c>
      <c r="L1762" s="24">
        <v>61.82</v>
      </c>
      <c r="M1762" s="110">
        <f>IF(L1762="",I1762,(MIN(J1762,(L1762*1.6*J1762))))</f>
        <v>1590</v>
      </c>
      <c r="N1762" s="111">
        <f>IF(M1762=0,0,(M1762/J1762))</f>
        <v>1</v>
      </c>
    </row>
    <row r="1763" spans="2:14">
      <c r="B1763" s="73">
        <v>127832</v>
      </c>
      <c r="C1763" s="23" t="str">
        <f>"LEE"</f>
        <v>LEE</v>
      </c>
      <c r="D1763" s="123">
        <f>SUMIF(B$3:B$3844,B1763,M$3:M$3844)/(SUMIF(B$3:B$3844,B1763,J$3:J$3844))</f>
        <v>0.92942971581155831</v>
      </c>
      <c r="E1763" s="23">
        <v>38233</v>
      </c>
      <c r="F1763" s="46" t="str">
        <f>"VILLAS ELEMENTARY SCHOOL"</f>
        <v>VILLAS ELEMENTARY SCHOOL</v>
      </c>
      <c r="G1763" s="23"/>
      <c r="H1763" s="23"/>
      <c r="I1763" s="41"/>
      <c r="J1763" s="41">
        <v>835</v>
      </c>
      <c r="K1763" s="20">
        <v>2015</v>
      </c>
      <c r="L1763" s="24">
        <v>80</v>
      </c>
      <c r="M1763" s="110">
        <f>IF(L1763="",I1763,(MIN(J1763,(L1763*1.6*J1763))))</f>
        <v>835</v>
      </c>
      <c r="N1763" s="111">
        <f>IF(M1763=0,0,(M1763/J1763))</f>
        <v>1</v>
      </c>
    </row>
    <row r="1764" spans="2:14">
      <c r="B1764" s="73">
        <v>127599</v>
      </c>
      <c r="C1764" s="23" t="s">
        <v>843</v>
      </c>
      <c r="D1764" s="123">
        <f>SUMIF(B$3:B$3844,B1764,M$3:M$3844)/(SUMIF(B$3:B$3844,B1764,J$3:J$3844))</f>
        <v>0.62088482218658614</v>
      </c>
      <c r="E1764" s="23">
        <v>35251</v>
      </c>
      <c r="F1764" s="46" t="s">
        <v>844</v>
      </c>
      <c r="G1764" s="23"/>
      <c r="H1764" s="23"/>
      <c r="I1764" s="41"/>
      <c r="J1764" s="41">
        <v>1273</v>
      </c>
      <c r="K1764" s="20">
        <v>2015</v>
      </c>
      <c r="L1764" s="20">
        <v>61.25</v>
      </c>
      <c r="M1764" s="110">
        <f>IF(L1764="",I1764,(MIN(J1764,(L1764*1.6*J1764))))</f>
        <v>1273</v>
      </c>
      <c r="N1764" s="111">
        <f>IF(M1764=0,0,(M1764/J1764))</f>
        <v>1</v>
      </c>
    </row>
    <row r="1765" spans="2:14">
      <c r="B1765" s="72">
        <v>127599</v>
      </c>
      <c r="C1765" s="47" t="s">
        <v>843</v>
      </c>
      <c r="D1765" s="123">
        <f>SUMIF(B$3:B$3844,B1765,M$3:M$3844)/(SUMIF(B$3:B$3844,B1765,J$3:J$3844))</f>
        <v>0.62088482218658614</v>
      </c>
      <c r="E1765" s="47">
        <v>35287</v>
      </c>
      <c r="F1765" s="48" t="s">
        <v>845</v>
      </c>
      <c r="G1765" s="47"/>
      <c r="H1765" s="47"/>
      <c r="I1765" s="40"/>
      <c r="J1765" s="40">
        <v>621</v>
      </c>
      <c r="K1765" s="20">
        <v>2015</v>
      </c>
      <c r="L1765" s="20">
        <v>61.25</v>
      </c>
      <c r="M1765" s="110">
        <f>IF(L1765="",I1765,(MIN(J1765,(L1765*1.6*J1765))))</f>
        <v>621</v>
      </c>
      <c r="N1765" s="111">
        <f>IF(M1765=0,0,(M1765/J1765))</f>
        <v>1</v>
      </c>
    </row>
    <row r="1766" spans="2:14">
      <c r="B1766" s="73">
        <v>127599</v>
      </c>
      <c r="C1766" s="23" t="s">
        <v>843</v>
      </c>
      <c r="D1766" s="123">
        <f>SUMIF(B$3:B$3844,B1766,M$3:M$3844)/(SUMIF(B$3:B$3844,B1766,J$3:J$3844))</f>
        <v>0.62088482218658614</v>
      </c>
      <c r="E1766" s="23">
        <v>35250</v>
      </c>
      <c r="F1766" s="46" t="s">
        <v>846</v>
      </c>
      <c r="G1766" s="23"/>
      <c r="H1766" s="23"/>
      <c r="I1766" s="41"/>
      <c r="J1766" s="41">
        <v>591</v>
      </c>
      <c r="K1766" s="20">
        <v>2015</v>
      </c>
      <c r="L1766" s="20">
        <v>61.25</v>
      </c>
      <c r="M1766" s="110">
        <f>IF(L1766="",I1766,(MIN(J1766,(L1766*1.6*J1766))))</f>
        <v>591</v>
      </c>
      <c r="N1766" s="111">
        <f>IF(M1766=0,0,(M1766/J1766))</f>
        <v>1</v>
      </c>
    </row>
    <row r="1767" spans="2:14">
      <c r="B1767" s="72">
        <v>127599</v>
      </c>
      <c r="C1767" s="47" t="s">
        <v>843</v>
      </c>
      <c r="D1767" s="123">
        <f>SUMIF(B$3:B$3844,B1767,M$3:M$3844)/(SUMIF(B$3:B$3844,B1767,J$3:J$3844))</f>
        <v>0.62088482218658614</v>
      </c>
      <c r="E1767" s="47">
        <v>35282</v>
      </c>
      <c r="F1767" s="48" t="s">
        <v>847</v>
      </c>
      <c r="G1767" s="47"/>
      <c r="H1767" s="47"/>
      <c r="I1767" s="40"/>
      <c r="J1767" s="40">
        <v>652</v>
      </c>
      <c r="K1767" s="20">
        <v>2015</v>
      </c>
      <c r="L1767" s="20">
        <v>61.25</v>
      </c>
      <c r="M1767" s="110">
        <f>IF(L1767="",I1767,(MIN(J1767,(L1767*1.6*J1767))))</f>
        <v>652</v>
      </c>
      <c r="N1767" s="111">
        <f>IF(M1767=0,0,(M1767/J1767))</f>
        <v>1</v>
      </c>
    </row>
    <row r="1768" spans="2:14">
      <c r="B1768" s="73">
        <v>127599</v>
      </c>
      <c r="C1768" s="23" t="s">
        <v>843</v>
      </c>
      <c r="D1768" s="123">
        <f>SUMIF(B$3:B$3844,B1768,M$3:M$3844)/(SUMIF(B$3:B$3844,B1768,J$3:J$3844))</f>
        <v>0.62088482218658614</v>
      </c>
      <c r="E1768" s="23">
        <v>35291</v>
      </c>
      <c r="F1768" s="46" t="s">
        <v>848</v>
      </c>
      <c r="G1768" s="23"/>
      <c r="H1768" s="23"/>
      <c r="I1768" s="41">
        <v>79</v>
      </c>
      <c r="J1768" s="41">
        <v>669</v>
      </c>
      <c r="K1768" s="20"/>
      <c r="L1768" s="20"/>
      <c r="M1768" s="110">
        <f>IF(L1768="",I1768,(MIN(J1768,(L1768*1.6*J1768))))</f>
        <v>79</v>
      </c>
      <c r="N1768" s="111">
        <f>IF(M1768=0,0,(M1768/J1768))</f>
        <v>0.11808669656203288</v>
      </c>
    </row>
    <row r="1769" spans="2:14">
      <c r="B1769" s="72">
        <v>127599</v>
      </c>
      <c r="C1769" s="47" t="s">
        <v>843</v>
      </c>
      <c r="D1769" s="123">
        <f>SUMIF(B$3:B$3844,B1769,M$3:M$3844)/(SUMIF(B$3:B$3844,B1769,J$3:J$3844))</f>
        <v>0.62088482218658614</v>
      </c>
      <c r="E1769" s="47">
        <v>202167</v>
      </c>
      <c r="F1769" s="48" t="s">
        <v>849</v>
      </c>
      <c r="G1769" s="47"/>
      <c r="H1769" s="47"/>
      <c r="I1769" s="40"/>
      <c r="J1769" s="40">
        <v>695</v>
      </c>
      <c r="K1769" s="20">
        <v>2015</v>
      </c>
      <c r="L1769" s="20">
        <v>61.25</v>
      </c>
      <c r="M1769" s="110">
        <f>IF(L1769="",I1769,(MIN(J1769,(L1769*1.6*J1769))))</f>
        <v>695</v>
      </c>
      <c r="N1769" s="111">
        <f>IF(M1769=0,0,(M1769/J1769))</f>
        <v>1</v>
      </c>
    </row>
    <row r="1770" spans="2:14">
      <c r="B1770" s="73">
        <v>127599</v>
      </c>
      <c r="C1770" s="23" t="s">
        <v>843</v>
      </c>
      <c r="D1770" s="123">
        <f>SUMIF(B$3:B$3844,B1770,M$3:M$3844)/(SUMIF(B$3:B$3844,B1770,J$3:J$3844))</f>
        <v>0.62088482218658614</v>
      </c>
      <c r="E1770" s="23">
        <v>35295</v>
      </c>
      <c r="F1770" s="46" t="s">
        <v>850</v>
      </c>
      <c r="G1770" s="23"/>
      <c r="H1770" s="23"/>
      <c r="I1770" s="41"/>
      <c r="J1770" s="41">
        <v>455</v>
      </c>
      <c r="K1770" s="20">
        <v>2015</v>
      </c>
      <c r="L1770" s="20">
        <v>61.25</v>
      </c>
      <c r="M1770" s="110">
        <f>IF(L1770="",I1770,(MIN(J1770,(L1770*1.6*J1770))))</f>
        <v>455</v>
      </c>
      <c r="N1770" s="111">
        <f>IF(M1770=0,0,(M1770/J1770))</f>
        <v>1</v>
      </c>
    </row>
    <row r="1771" spans="2:14">
      <c r="B1771" s="72">
        <v>127599</v>
      </c>
      <c r="C1771" s="47" t="s">
        <v>843</v>
      </c>
      <c r="D1771" s="123">
        <f>SUMIF(B$3:B$3844,B1771,M$3:M$3844)/(SUMIF(B$3:B$3844,B1771,J$3:J$3844))</f>
        <v>0.62088482218658614</v>
      </c>
      <c r="E1771" s="47">
        <v>35305</v>
      </c>
      <c r="F1771" s="48" t="s">
        <v>851</v>
      </c>
      <c r="G1771" s="47"/>
      <c r="H1771" s="47"/>
      <c r="I1771" s="40">
        <v>99</v>
      </c>
      <c r="J1771" s="40">
        <v>934</v>
      </c>
      <c r="K1771" s="20"/>
      <c r="L1771" s="20"/>
      <c r="M1771" s="110">
        <f>IF(L1771="",I1771,(MIN(J1771,(L1771*1.6*J1771))))</f>
        <v>99</v>
      </c>
      <c r="N1771" s="111">
        <f>IF(M1771=0,0,(M1771/J1771))</f>
        <v>0.10599571734475374</v>
      </c>
    </row>
    <row r="1772" spans="2:14">
      <c r="B1772" s="73">
        <v>127599</v>
      </c>
      <c r="C1772" s="23" t="s">
        <v>843</v>
      </c>
      <c r="D1772" s="123">
        <f>SUMIF(B$3:B$3844,B1772,M$3:M$3844)/(SUMIF(B$3:B$3844,B1772,J$3:J$3844))</f>
        <v>0.62088482218658614</v>
      </c>
      <c r="E1772" s="23">
        <v>35268</v>
      </c>
      <c r="F1772" s="46" t="s">
        <v>852</v>
      </c>
      <c r="G1772" s="23"/>
      <c r="H1772" s="23"/>
      <c r="I1772" s="41">
        <v>113</v>
      </c>
      <c r="J1772" s="41">
        <v>669</v>
      </c>
      <c r="K1772" s="20"/>
      <c r="L1772" s="20"/>
      <c r="M1772" s="110">
        <f>IF(L1772="",I1772,(MIN(J1772,(L1772*1.6*J1772))))</f>
        <v>113</v>
      </c>
      <c r="N1772" s="111">
        <f>IF(M1772=0,0,(M1772/J1772))</f>
        <v>0.16890881913303438</v>
      </c>
    </row>
    <row r="1773" spans="2:14">
      <c r="B1773" s="72">
        <v>127599</v>
      </c>
      <c r="C1773" s="47" t="s">
        <v>843</v>
      </c>
      <c r="D1773" s="123">
        <f>SUMIF(B$3:B$3844,B1773,M$3:M$3844)/(SUMIF(B$3:B$3844,B1773,J$3:J$3844))</f>
        <v>0.62088482218658614</v>
      </c>
      <c r="E1773" s="47">
        <v>35274</v>
      </c>
      <c r="F1773" s="48" t="s">
        <v>853</v>
      </c>
      <c r="G1773" s="47"/>
      <c r="H1773" s="47"/>
      <c r="I1773" s="40"/>
      <c r="J1773" s="40">
        <v>866</v>
      </c>
      <c r="K1773" s="20">
        <v>2015</v>
      </c>
      <c r="L1773" s="20">
        <v>61.25</v>
      </c>
      <c r="M1773" s="110">
        <f>IF(L1773="",I1773,(MIN(J1773,(L1773*1.6*J1773))))</f>
        <v>866</v>
      </c>
      <c r="N1773" s="111">
        <f>IF(M1773=0,0,(M1773/J1773))</f>
        <v>1</v>
      </c>
    </row>
    <row r="1774" spans="2:14">
      <c r="B1774" s="73">
        <v>127599</v>
      </c>
      <c r="C1774" s="23" t="s">
        <v>843</v>
      </c>
      <c r="D1774" s="123">
        <f>SUMIF(B$3:B$3844,B1774,M$3:M$3844)/(SUMIF(B$3:B$3844,B1774,J$3:J$3844))</f>
        <v>0.62088482218658614</v>
      </c>
      <c r="E1774" s="23">
        <v>35292</v>
      </c>
      <c r="F1774" s="46" t="s">
        <v>854</v>
      </c>
      <c r="G1774" s="23"/>
      <c r="H1774" s="23"/>
      <c r="I1774" s="41"/>
      <c r="J1774" s="41">
        <v>813</v>
      </c>
      <c r="K1774" s="20">
        <v>2015</v>
      </c>
      <c r="L1774" s="20">
        <v>61.25</v>
      </c>
      <c r="M1774" s="110">
        <f>IF(L1774="",I1774,(MIN(J1774,(L1774*1.6*J1774))))</f>
        <v>813</v>
      </c>
      <c r="N1774" s="111">
        <f>IF(M1774=0,0,(M1774/J1774))</f>
        <v>1</v>
      </c>
    </row>
    <row r="1775" spans="2:14">
      <c r="B1775" s="72">
        <v>127599</v>
      </c>
      <c r="C1775" s="47" t="s">
        <v>843</v>
      </c>
      <c r="D1775" s="123">
        <f>SUMIF(B$3:B$3844,B1775,M$3:M$3844)/(SUMIF(B$3:B$3844,B1775,J$3:J$3844))</f>
        <v>0.62088482218658614</v>
      </c>
      <c r="E1775" s="47">
        <v>35285</v>
      </c>
      <c r="F1775" s="48" t="s">
        <v>855</v>
      </c>
      <c r="G1775" s="47"/>
      <c r="H1775" s="47"/>
      <c r="I1775" s="40"/>
      <c r="J1775" s="40">
        <v>774</v>
      </c>
      <c r="K1775" s="20">
        <v>2015</v>
      </c>
      <c r="L1775" s="20">
        <v>61.25</v>
      </c>
      <c r="M1775" s="110">
        <f>IF(L1775="",I1775,(MIN(J1775,(L1775*1.6*J1775))))</f>
        <v>774</v>
      </c>
      <c r="N1775" s="111">
        <f>IF(M1775=0,0,(M1775/J1775))</f>
        <v>1</v>
      </c>
    </row>
    <row r="1776" spans="2:14">
      <c r="B1776" s="73">
        <v>127599</v>
      </c>
      <c r="C1776" s="23" t="s">
        <v>843</v>
      </c>
      <c r="D1776" s="123">
        <f>SUMIF(B$3:B$3844,B1776,M$3:M$3844)/(SUMIF(B$3:B$3844,B1776,J$3:J$3844))</f>
        <v>0.62088482218658614</v>
      </c>
      <c r="E1776" s="23">
        <v>35243</v>
      </c>
      <c r="F1776" s="46" t="s">
        <v>856</v>
      </c>
      <c r="G1776" s="23"/>
      <c r="H1776" s="23"/>
      <c r="I1776" s="41"/>
      <c r="J1776" s="41">
        <v>439</v>
      </c>
      <c r="K1776" s="20">
        <v>2015</v>
      </c>
      <c r="L1776" s="20">
        <v>61.25</v>
      </c>
      <c r="M1776" s="110">
        <f>IF(L1776="",I1776,(MIN(J1776,(L1776*1.6*J1776))))</f>
        <v>439</v>
      </c>
      <c r="N1776" s="111">
        <f>IF(M1776=0,0,(M1776/J1776))</f>
        <v>1</v>
      </c>
    </row>
    <row r="1777" spans="2:14">
      <c r="B1777" s="72">
        <v>127599</v>
      </c>
      <c r="C1777" s="47" t="s">
        <v>843</v>
      </c>
      <c r="D1777" s="123">
        <f>SUMIF(B$3:B$3844,B1777,M$3:M$3844)/(SUMIF(B$3:B$3844,B1777,J$3:J$3844))</f>
        <v>0.62088482218658614</v>
      </c>
      <c r="E1777" s="47">
        <v>35299</v>
      </c>
      <c r="F1777" s="48" t="s">
        <v>857</v>
      </c>
      <c r="G1777" s="47"/>
      <c r="H1777" s="47"/>
      <c r="I1777" s="40">
        <v>246</v>
      </c>
      <c r="J1777" s="40">
        <v>1048</v>
      </c>
      <c r="K1777" s="20"/>
      <c r="L1777" s="20"/>
      <c r="M1777" s="110">
        <f>IF(L1777="",I1777,(MIN(J1777,(L1777*1.6*J1777))))</f>
        <v>246</v>
      </c>
      <c r="N1777" s="111">
        <f>IF(M1777=0,0,(M1777/J1777))</f>
        <v>0.23473282442748092</v>
      </c>
    </row>
    <row r="1778" spans="2:14">
      <c r="B1778" s="73">
        <v>127599</v>
      </c>
      <c r="C1778" s="23" t="s">
        <v>843</v>
      </c>
      <c r="D1778" s="123">
        <f>SUMIF(B$3:B$3844,B1778,M$3:M$3844)/(SUMIF(B$3:B$3844,B1778,J$3:J$3844))</f>
        <v>0.62088482218658614</v>
      </c>
      <c r="E1778" s="23">
        <v>35259</v>
      </c>
      <c r="F1778" s="46" t="s">
        <v>858</v>
      </c>
      <c r="G1778" s="23"/>
      <c r="H1778" s="23"/>
      <c r="I1778" s="41"/>
      <c r="J1778" s="41">
        <v>192</v>
      </c>
      <c r="K1778" s="20">
        <v>2015</v>
      </c>
      <c r="L1778" s="20">
        <v>61.25</v>
      </c>
      <c r="M1778" s="110">
        <f>IF(L1778="",I1778,(MIN(J1778,(L1778*1.6*J1778))))</f>
        <v>192</v>
      </c>
      <c r="N1778" s="111">
        <f>IF(M1778=0,0,(M1778/J1778))</f>
        <v>1</v>
      </c>
    </row>
    <row r="1779" spans="2:14">
      <c r="B1779" s="72">
        <v>127599</v>
      </c>
      <c r="C1779" s="47" t="s">
        <v>843</v>
      </c>
      <c r="D1779" s="123">
        <f>SUMIF(B$3:B$3844,B1779,M$3:M$3844)/(SUMIF(B$3:B$3844,B1779,J$3:J$3844))</f>
        <v>0.62088482218658614</v>
      </c>
      <c r="E1779" s="47">
        <v>35258</v>
      </c>
      <c r="F1779" s="48" t="s">
        <v>859</v>
      </c>
      <c r="G1779" s="47"/>
      <c r="H1779" s="47"/>
      <c r="I1779" s="40"/>
      <c r="J1779" s="40">
        <v>519</v>
      </c>
      <c r="K1779" s="20">
        <v>2015</v>
      </c>
      <c r="L1779" s="20">
        <v>61.25</v>
      </c>
      <c r="M1779" s="110">
        <f>IF(L1779="",I1779,(MIN(J1779,(L1779*1.6*J1779))))</f>
        <v>519</v>
      </c>
      <c r="N1779" s="111">
        <f>IF(M1779=0,0,(M1779/J1779))</f>
        <v>1</v>
      </c>
    </row>
    <row r="1780" spans="2:14">
      <c r="B1780" s="73">
        <v>127599</v>
      </c>
      <c r="C1780" s="23" t="s">
        <v>843</v>
      </c>
      <c r="D1780" s="123">
        <f>SUMIF(B$3:B$3844,B1780,M$3:M$3844)/(SUMIF(B$3:B$3844,B1780,J$3:J$3844))</f>
        <v>0.62088482218658614</v>
      </c>
      <c r="E1780" s="23">
        <v>35298</v>
      </c>
      <c r="F1780" s="46" t="s">
        <v>860</v>
      </c>
      <c r="G1780" s="23"/>
      <c r="H1780" s="23"/>
      <c r="I1780" s="41">
        <v>121</v>
      </c>
      <c r="J1780" s="41">
        <v>850</v>
      </c>
      <c r="K1780" s="20"/>
      <c r="L1780" s="20"/>
      <c r="M1780" s="110">
        <f>IF(L1780="",I1780,(MIN(J1780,(L1780*1.6*J1780))))</f>
        <v>121</v>
      </c>
      <c r="N1780" s="111">
        <f>IF(M1780=0,0,(M1780/J1780))</f>
        <v>0.1423529411764706</v>
      </c>
    </row>
    <row r="1781" spans="2:14" ht="30">
      <c r="B1781" s="72">
        <v>127599</v>
      </c>
      <c r="C1781" s="47" t="s">
        <v>843</v>
      </c>
      <c r="D1781" s="123">
        <f>SUMIF(B$3:B$3844,B1781,M$3:M$3844)/(SUMIF(B$3:B$3844,B1781,J$3:J$3844))</f>
        <v>0.62088482218658614</v>
      </c>
      <c r="E1781" s="47">
        <v>16039116</v>
      </c>
      <c r="F1781" s="48" t="s">
        <v>861</v>
      </c>
      <c r="G1781" s="47"/>
      <c r="H1781" s="47"/>
      <c r="I1781" s="40">
        <v>279</v>
      </c>
      <c r="J1781" s="40">
        <v>863</v>
      </c>
      <c r="K1781" s="20"/>
      <c r="L1781" s="20"/>
      <c r="M1781" s="110">
        <f>IF(L1781="",I1781,(MIN(J1781,(L1781*1.6*J1781))))</f>
        <v>279</v>
      </c>
      <c r="N1781" s="111">
        <f>IF(M1781=0,0,(M1781/J1781))</f>
        <v>0.32329084588644263</v>
      </c>
    </row>
    <row r="1782" spans="2:14">
      <c r="B1782" s="73">
        <v>127599</v>
      </c>
      <c r="C1782" s="23" t="s">
        <v>843</v>
      </c>
      <c r="D1782" s="123">
        <f>SUMIF(B$3:B$3844,B1782,M$3:M$3844)/(SUMIF(B$3:B$3844,B1782,J$3:J$3844))</f>
        <v>0.62088482218658614</v>
      </c>
      <c r="E1782" s="23">
        <v>35245</v>
      </c>
      <c r="F1782" s="46" t="s">
        <v>862</v>
      </c>
      <c r="G1782" s="23"/>
      <c r="H1782" s="23"/>
      <c r="I1782" s="41"/>
      <c r="J1782" s="41">
        <v>1284</v>
      </c>
      <c r="K1782" s="20">
        <v>2015</v>
      </c>
      <c r="L1782" s="20">
        <v>61.25</v>
      </c>
      <c r="M1782" s="110">
        <f>IF(L1782="",I1782,(MIN(J1782,(L1782*1.6*J1782))))</f>
        <v>1284</v>
      </c>
      <c r="N1782" s="111">
        <f>IF(M1782=0,0,(M1782/J1782))</f>
        <v>1</v>
      </c>
    </row>
    <row r="1783" spans="2:14">
      <c r="B1783" s="72">
        <v>127599</v>
      </c>
      <c r="C1783" s="47" t="s">
        <v>843</v>
      </c>
      <c r="D1783" s="123">
        <f>SUMIF(B$3:B$3844,B1783,M$3:M$3844)/(SUMIF(B$3:B$3844,B1783,J$3:J$3844))</f>
        <v>0.62088482218658614</v>
      </c>
      <c r="E1783" s="47">
        <v>35257</v>
      </c>
      <c r="F1783" s="48" t="s">
        <v>863</v>
      </c>
      <c r="G1783" s="47"/>
      <c r="H1783" s="47"/>
      <c r="I1783" s="40"/>
      <c r="J1783" s="40">
        <v>554</v>
      </c>
      <c r="K1783" s="20">
        <v>2015</v>
      </c>
      <c r="L1783" s="20">
        <v>61.25</v>
      </c>
      <c r="M1783" s="110">
        <f>IF(L1783="",I1783,(MIN(J1783,(L1783*1.6*J1783))))</f>
        <v>554</v>
      </c>
      <c r="N1783" s="111">
        <f>IF(M1783=0,0,(M1783/J1783))</f>
        <v>1</v>
      </c>
    </row>
    <row r="1784" spans="2:14">
      <c r="B1784" s="73">
        <v>127599</v>
      </c>
      <c r="C1784" s="23" t="s">
        <v>843</v>
      </c>
      <c r="D1784" s="123">
        <f>SUMIF(B$3:B$3844,B1784,M$3:M$3844)/(SUMIF(B$3:B$3844,B1784,J$3:J$3844))</f>
        <v>0.62088482218658614</v>
      </c>
      <c r="E1784" s="23">
        <v>35275</v>
      </c>
      <c r="F1784" s="46" t="s">
        <v>864</v>
      </c>
      <c r="G1784" s="23"/>
      <c r="H1784" s="23"/>
      <c r="I1784" s="41"/>
      <c r="J1784" s="41">
        <v>837</v>
      </c>
      <c r="K1784" s="20">
        <v>2015</v>
      </c>
      <c r="L1784" s="20">
        <v>61.25</v>
      </c>
      <c r="M1784" s="110">
        <f>IF(L1784="",I1784,(MIN(J1784,(L1784*1.6*J1784))))</f>
        <v>837</v>
      </c>
      <c r="N1784" s="111">
        <f>IF(M1784=0,0,(M1784/J1784))</f>
        <v>1</v>
      </c>
    </row>
    <row r="1785" spans="2:14">
      <c r="B1785" s="72">
        <v>127599</v>
      </c>
      <c r="C1785" s="47" t="s">
        <v>843</v>
      </c>
      <c r="D1785" s="123">
        <f>SUMIF(B$3:B$3844,B1785,M$3:M$3844)/(SUMIF(B$3:B$3844,B1785,J$3:J$3844))</f>
        <v>0.62088482218658614</v>
      </c>
      <c r="E1785" s="47">
        <v>35296</v>
      </c>
      <c r="F1785" s="48" t="s">
        <v>865</v>
      </c>
      <c r="G1785" s="47"/>
      <c r="H1785" s="47"/>
      <c r="I1785" s="40">
        <v>102</v>
      </c>
      <c r="J1785" s="40">
        <v>832</v>
      </c>
      <c r="K1785" s="20"/>
      <c r="L1785" s="20"/>
      <c r="M1785" s="110">
        <f>IF(L1785="",I1785,(MIN(J1785,(L1785*1.6*J1785))))</f>
        <v>102</v>
      </c>
      <c r="N1785" s="111">
        <f>IF(M1785=0,0,(M1785/J1785))</f>
        <v>0.12259615384615384</v>
      </c>
    </row>
    <row r="1786" spans="2:14">
      <c r="B1786" s="73">
        <v>127599</v>
      </c>
      <c r="C1786" s="23" t="s">
        <v>843</v>
      </c>
      <c r="D1786" s="123">
        <f>SUMIF(B$3:B$3844,B1786,M$3:M$3844)/(SUMIF(B$3:B$3844,B1786,J$3:J$3844))</f>
        <v>0.62088482218658614</v>
      </c>
      <c r="E1786" s="23">
        <v>211791</v>
      </c>
      <c r="F1786" s="46" t="s">
        <v>866</v>
      </c>
      <c r="G1786" s="23"/>
      <c r="H1786" s="23"/>
      <c r="I1786" s="41">
        <v>141</v>
      </c>
      <c r="J1786" s="41">
        <v>2031</v>
      </c>
      <c r="K1786" s="20"/>
      <c r="L1786" s="20"/>
      <c r="M1786" s="110">
        <f>IF(L1786="",I1786,(MIN(J1786,(L1786*1.6*J1786))))</f>
        <v>141</v>
      </c>
      <c r="N1786" s="111">
        <f>IF(M1786=0,0,(M1786/J1786))</f>
        <v>6.9423929098966025E-2</v>
      </c>
    </row>
    <row r="1787" spans="2:14">
      <c r="B1787" s="72">
        <v>127599</v>
      </c>
      <c r="C1787" s="47" t="s">
        <v>843</v>
      </c>
      <c r="D1787" s="123">
        <f>SUMIF(B$3:B$3844,B1787,M$3:M$3844)/(SUMIF(B$3:B$3844,B1787,J$3:J$3844))</f>
        <v>0.62088482218658614</v>
      </c>
      <c r="E1787" s="47">
        <v>192078</v>
      </c>
      <c r="F1787" s="48" t="s">
        <v>867</v>
      </c>
      <c r="G1787" s="47"/>
      <c r="H1787" s="47"/>
      <c r="I1787" s="40">
        <v>6</v>
      </c>
      <c r="J1787" s="40">
        <v>19</v>
      </c>
      <c r="K1787" s="20"/>
      <c r="L1787" s="20"/>
      <c r="M1787" s="110">
        <f>IF(L1787="",I1787,(MIN(J1787,(L1787*1.6*J1787))))</f>
        <v>6</v>
      </c>
      <c r="N1787" s="111">
        <f>IF(M1787=0,0,(M1787/J1787))</f>
        <v>0.31578947368421051</v>
      </c>
    </row>
    <row r="1788" spans="2:14">
      <c r="B1788" s="73">
        <v>127599</v>
      </c>
      <c r="C1788" s="23" t="s">
        <v>843</v>
      </c>
      <c r="D1788" s="123">
        <f>SUMIF(B$3:B$3844,B1788,M$3:M$3844)/(SUMIF(B$3:B$3844,B1788,J$3:J$3844))</f>
        <v>0.62088482218658614</v>
      </c>
      <c r="E1788" s="23">
        <v>17003636</v>
      </c>
      <c r="F1788" s="46" t="s">
        <v>868</v>
      </c>
      <c r="G1788" s="23"/>
      <c r="H1788" s="23"/>
      <c r="I1788" s="41"/>
      <c r="J1788" s="41" t="s">
        <v>798</v>
      </c>
      <c r="K1788" s="20"/>
      <c r="L1788" s="20"/>
      <c r="M1788" s="110">
        <f>IF(L1788="",I1788,(MIN(J1788,(L1788*1.6*J1788))))</f>
        <v>0</v>
      </c>
      <c r="N1788" s="111">
        <f>IF(M1788=0,0,(M1788/J1788))</f>
        <v>0</v>
      </c>
    </row>
    <row r="1789" spans="2:14">
      <c r="B1789" s="72">
        <v>127599</v>
      </c>
      <c r="C1789" s="47" t="s">
        <v>843</v>
      </c>
      <c r="D1789" s="123">
        <f>SUMIF(B$3:B$3844,B1789,M$3:M$3844)/(SUMIF(B$3:B$3844,B1789,J$3:J$3844))</f>
        <v>0.62088482218658614</v>
      </c>
      <c r="E1789" s="47">
        <v>16084496</v>
      </c>
      <c r="F1789" s="48" t="s">
        <v>869</v>
      </c>
      <c r="G1789" s="47"/>
      <c r="H1789" s="47"/>
      <c r="I1789" s="40">
        <v>5</v>
      </c>
      <c r="J1789" s="40">
        <v>41</v>
      </c>
      <c r="K1789" s="20"/>
      <c r="L1789" s="20"/>
      <c r="M1789" s="110">
        <f>IF(L1789="",I1789,(MIN(J1789,(L1789*1.6*J1789))))</f>
        <v>5</v>
      </c>
      <c r="N1789" s="111">
        <f>IF(M1789=0,0,(M1789/J1789))</f>
        <v>0.12195121951219512</v>
      </c>
    </row>
    <row r="1790" spans="2:14">
      <c r="B1790" s="73">
        <v>127599</v>
      </c>
      <c r="C1790" s="23" t="s">
        <v>843</v>
      </c>
      <c r="D1790" s="123">
        <f>SUMIF(B$3:B$3844,B1790,M$3:M$3844)/(SUMIF(B$3:B$3844,B1790,J$3:J$3844))</f>
        <v>0.62088482218658614</v>
      </c>
      <c r="E1790" s="23">
        <v>16039117</v>
      </c>
      <c r="F1790" s="46" t="s">
        <v>870</v>
      </c>
      <c r="G1790" s="23"/>
      <c r="H1790" s="23"/>
      <c r="I1790" s="41"/>
      <c r="J1790" s="41" t="s">
        <v>264</v>
      </c>
      <c r="K1790" s="20"/>
      <c r="L1790" s="20"/>
      <c r="M1790" s="110">
        <f>IF(L1790="",I1790,(MIN(J1790,(L1790*1.6*J1790))))</f>
        <v>0</v>
      </c>
      <c r="N1790" s="111">
        <f>IF(M1790=0,0,(M1790/J1790))</f>
        <v>0</v>
      </c>
    </row>
    <row r="1791" spans="2:14">
      <c r="B1791" s="72">
        <v>127599</v>
      </c>
      <c r="C1791" s="47" t="s">
        <v>843</v>
      </c>
      <c r="D1791" s="123">
        <f>SUMIF(B$3:B$3844,B1791,M$3:M$3844)/(SUMIF(B$3:B$3844,B1791,J$3:J$3844))</f>
        <v>0.62088482218658614</v>
      </c>
      <c r="E1791" s="47">
        <v>35272</v>
      </c>
      <c r="F1791" s="48" t="s">
        <v>871</v>
      </c>
      <c r="G1791" s="47"/>
      <c r="H1791" s="47"/>
      <c r="I1791" s="40">
        <v>557</v>
      </c>
      <c r="J1791" s="40">
        <v>2113</v>
      </c>
      <c r="K1791" s="20"/>
      <c r="L1791" s="20"/>
      <c r="M1791" s="110">
        <f>IF(L1791="",I1791,(MIN(J1791,(L1791*1.6*J1791))))</f>
        <v>557</v>
      </c>
      <c r="N1791" s="111">
        <f>IF(M1791=0,0,(M1791/J1791))</f>
        <v>0.26360624704212021</v>
      </c>
    </row>
    <row r="1792" spans="2:14">
      <c r="B1792" s="73">
        <v>127599</v>
      </c>
      <c r="C1792" s="23" t="s">
        <v>843</v>
      </c>
      <c r="D1792" s="123">
        <f>SUMIF(B$3:B$3844,B1792,M$3:M$3844)/(SUMIF(B$3:B$3844,B1792,J$3:J$3844))</f>
        <v>0.62088482218658614</v>
      </c>
      <c r="E1792" s="23">
        <v>35288</v>
      </c>
      <c r="F1792" s="46" t="s">
        <v>872</v>
      </c>
      <c r="G1792" s="23"/>
      <c r="H1792" s="23"/>
      <c r="I1792" s="41">
        <v>457</v>
      </c>
      <c r="J1792" s="41">
        <v>2092</v>
      </c>
      <c r="K1792" s="20"/>
      <c r="L1792" s="20"/>
      <c r="M1792" s="110">
        <f>IF(L1792="",I1792,(MIN(J1792,(L1792*1.6*J1792))))</f>
        <v>457</v>
      </c>
      <c r="N1792" s="111">
        <f>IF(M1792=0,0,(M1792/J1792))</f>
        <v>0.21845124282982792</v>
      </c>
    </row>
    <row r="1793" spans="2:14">
      <c r="B1793" s="72">
        <v>127599</v>
      </c>
      <c r="C1793" s="47" t="s">
        <v>843</v>
      </c>
      <c r="D1793" s="123">
        <f>SUMIF(B$3:B$3844,B1793,M$3:M$3844)/(SUMIF(B$3:B$3844,B1793,J$3:J$3844))</f>
        <v>0.62088482218658614</v>
      </c>
      <c r="E1793" s="47">
        <v>35262</v>
      </c>
      <c r="F1793" s="48" t="s">
        <v>873</v>
      </c>
      <c r="G1793" s="47"/>
      <c r="H1793" s="47"/>
      <c r="I1793" s="40">
        <v>6</v>
      </c>
      <c r="J1793" s="40">
        <v>26</v>
      </c>
      <c r="K1793" s="20"/>
      <c r="L1793" s="20"/>
      <c r="M1793" s="110">
        <f>IF(L1793="",I1793,(MIN(J1793,(L1793*1.6*J1793))))</f>
        <v>6</v>
      </c>
      <c r="N1793" s="111">
        <f>IF(M1793=0,0,(M1793/J1793))</f>
        <v>0.23076923076923078</v>
      </c>
    </row>
    <row r="1794" spans="2:14">
      <c r="B1794" s="73">
        <v>127599</v>
      </c>
      <c r="C1794" s="23" t="s">
        <v>843</v>
      </c>
      <c r="D1794" s="123">
        <f>SUMIF(B$3:B$3844,B1794,M$3:M$3844)/(SUMIF(B$3:B$3844,B1794,J$3:J$3844))</f>
        <v>0.62088482218658614</v>
      </c>
      <c r="E1794" s="23">
        <v>35284</v>
      </c>
      <c r="F1794" s="46" t="s">
        <v>874</v>
      </c>
      <c r="G1794" s="23"/>
      <c r="H1794" s="23"/>
      <c r="I1794" s="41"/>
      <c r="J1794" s="41">
        <v>507</v>
      </c>
      <c r="K1794" s="20">
        <v>2015</v>
      </c>
      <c r="L1794" s="20">
        <v>61.25</v>
      </c>
      <c r="M1794" s="110">
        <f>IF(L1794="",I1794,(MIN(J1794,(L1794*1.6*J1794))))</f>
        <v>507</v>
      </c>
      <c r="N1794" s="111">
        <f>IF(M1794=0,0,(M1794/J1794))</f>
        <v>1</v>
      </c>
    </row>
    <row r="1795" spans="2:14">
      <c r="B1795" s="72">
        <v>127599</v>
      </c>
      <c r="C1795" s="47" t="s">
        <v>843</v>
      </c>
      <c r="D1795" s="123">
        <f>SUMIF(B$3:B$3844,B1795,M$3:M$3844)/(SUMIF(B$3:B$3844,B1795,J$3:J$3844))</f>
        <v>0.62088482218658614</v>
      </c>
      <c r="E1795" s="47">
        <v>205952</v>
      </c>
      <c r="F1795" s="48" t="s">
        <v>596</v>
      </c>
      <c r="G1795" s="47"/>
      <c r="H1795" s="47"/>
      <c r="I1795" s="40"/>
      <c r="J1795" s="40">
        <v>54</v>
      </c>
      <c r="K1795" s="20"/>
      <c r="L1795" s="20"/>
      <c r="M1795" s="110">
        <f>IF(L1795="",I1795,(MIN(J1795,(L1795*1.6*J1795))))</f>
        <v>0</v>
      </c>
      <c r="N1795" s="111">
        <f>IF(M1795=0,0,(M1795/J1795))</f>
        <v>0</v>
      </c>
    </row>
    <row r="1796" spans="2:14">
      <c r="B1796" s="73">
        <v>127599</v>
      </c>
      <c r="C1796" s="23" t="s">
        <v>843</v>
      </c>
      <c r="D1796" s="123">
        <f>SUMIF(B$3:B$3844,B1796,M$3:M$3844)/(SUMIF(B$3:B$3844,B1796,J$3:J$3844))</f>
        <v>0.62088482218658614</v>
      </c>
      <c r="E1796" s="23">
        <v>35293</v>
      </c>
      <c r="F1796" s="46" t="s">
        <v>875</v>
      </c>
      <c r="G1796" s="23"/>
      <c r="H1796" s="23"/>
      <c r="I1796" s="41"/>
      <c r="J1796" s="41">
        <v>63</v>
      </c>
      <c r="K1796" s="20">
        <v>2015</v>
      </c>
      <c r="L1796" s="20">
        <v>61.25</v>
      </c>
      <c r="M1796" s="110">
        <f>IF(L1796="",I1796,(MIN(J1796,(L1796*1.6*J1796))))</f>
        <v>63</v>
      </c>
      <c r="N1796" s="111">
        <f>IF(M1796=0,0,(M1796/J1796))</f>
        <v>1</v>
      </c>
    </row>
    <row r="1797" spans="2:14">
      <c r="B1797" s="72">
        <v>127599</v>
      </c>
      <c r="C1797" s="47" t="s">
        <v>843</v>
      </c>
      <c r="D1797" s="123">
        <f>SUMIF(B$3:B$3844,B1797,M$3:M$3844)/(SUMIF(B$3:B$3844,B1797,J$3:J$3844))</f>
        <v>0.62088482218658614</v>
      </c>
      <c r="E1797" s="47">
        <v>35281</v>
      </c>
      <c r="F1797" s="48" t="s">
        <v>876</v>
      </c>
      <c r="G1797" s="47"/>
      <c r="H1797" s="47"/>
      <c r="I1797" s="40"/>
      <c r="J1797" s="40">
        <v>366</v>
      </c>
      <c r="K1797" s="20">
        <v>2015</v>
      </c>
      <c r="L1797" s="20">
        <v>61.25</v>
      </c>
      <c r="M1797" s="110">
        <f>IF(L1797="",I1797,(MIN(J1797,(L1797*1.6*J1797))))</f>
        <v>366</v>
      </c>
      <c r="N1797" s="111">
        <f>IF(M1797=0,0,(M1797/J1797))</f>
        <v>1</v>
      </c>
    </row>
    <row r="1798" spans="2:14">
      <c r="B1798" s="73">
        <v>127599</v>
      </c>
      <c r="C1798" s="23" t="s">
        <v>843</v>
      </c>
      <c r="D1798" s="123">
        <f>SUMIF(B$3:B$3844,B1798,M$3:M$3844)/(SUMIF(B$3:B$3844,B1798,J$3:J$3844))</f>
        <v>0.62088482218658614</v>
      </c>
      <c r="E1798" s="23">
        <v>35283</v>
      </c>
      <c r="F1798" s="46" t="s">
        <v>877</v>
      </c>
      <c r="G1798" s="23"/>
      <c r="H1798" s="23"/>
      <c r="I1798" s="41"/>
      <c r="J1798" s="41">
        <v>442</v>
      </c>
      <c r="K1798" s="20">
        <v>2015</v>
      </c>
      <c r="L1798" s="20">
        <v>61.25</v>
      </c>
      <c r="M1798" s="110">
        <f>IF(L1798="",I1798,(MIN(J1798,(L1798*1.6*J1798))))</f>
        <v>442</v>
      </c>
      <c r="N1798" s="111">
        <f>IF(M1798=0,0,(M1798/J1798))</f>
        <v>1</v>
      </c>
    </row>
    <row r="1799" spans="2:14">
      <c r="B1799" s="72">
        <v>127599</v>
      </c>
      <c r="C1799" s="47" t="s">
        <v>843</v>
      </c>
      <c r="D1799" s="123">
        <f>SUMIF(B$3:B$3844,B1799,M$3:M$3844)/(SUMIF(B$3:B$3844,B1799,J$3:J$3844))</f>
        <v>0.62088482218658614</v>
      </c>
      <c r="E1799" s="47">
        <v>35255</v>
      </c>
      <c r="F1799" s="48" t="s">
        <v>878</v>
      </c>
      <c r="G1799" s="47"/>
      <c r="H1799" s="47"/>
      <c r="I1799" s="40"/>
      <c r="J1799" s="40">
        <v>894</v>
      </c>
      <c r="K1799" s="20">
        <v>2015</v>
      </c>
      <c r="L1799" s="20">
        <v>61.25</v>
      </c>
      <c r="M1799" s="110">
        <f>IF(L1799="",I1799,(MIN(J1799,(L1799*1.6*J1799))))</f>
        <v>894</v>
      </c>
      <c r="N1799" s="111">
        <f>IF(M1799=0,0,(M1799/J1799))</f>
        <v>1</v>
      </c>
    </row>
    <row r="1800" spans="2:14">
      <c r="B1800" s="73">
        <v>127599</v>
      </c>
      <c r="C1800" s="23" t="s">
        <v>843</v>
      </c>
      <c r="D1800" s="123">
        <f>SUMIF(B$3:B$3844,B1800,M$3:M$3844)/(SUMIF(B$3:B$3844,B1800,J$3:J$3844))</f>
        <v>0.62088482218658614</v>
      </c>
      <c r="E1800" s="23">
        <v>225021</v>
      </c>
      <c r="F1800" s="46" t="s">
        <v>879</v>
      </c>
      <c r="G1800" s="23"/>
      <c r="H1800" s="23"/>
      <c r="I1800" s="41">
        <v>177</v>
      </c>
      <c r="J1800" s="41">
        <v>816</v>
      </c>
      <c r="K1800" s="20"/>
      <c r="L1800" s="20"/>
      <c r="M1800" s="110">
        <f>IF(L1800="",I1800,(MIN(J1800,(L1800*1.6*J1800))))</f>
        <v>177</v>
      </c>
      <c r="N1800" s="111">
        <f>IF(M1800=0,0,(M1800/J1800))</f>
        <v>0.21691176470588236</v>
      </c>
    </row>
    <row r="1801" spans="2:14">
      <c r="B1801" s="72">
        <v>127599</v>
      </c>
      <c r="C1801" s="47" t="s">
        <v>843</v>
      </c>
      <c r="D1801" s="123">
        <f>SUMIF(B$3:B$3844,B1801,M$3:M$3844)/(SUMIF(B$3:B$3844,B1801,J$3:J$3844))</f>
        <v>0.62088482218658614</v>
      </c>
      <c r="E1801" s="47">
        <v>35254</v>
      </c>
      <c r="F1801" s="48" t="s">
        <v>880</v>
      </c>
      <c r="G1801" s="47"/>
      <c r="H1801" s="47"/>
      <c r="I1801" s="40"/>
      <c r="J1801" s="40">
        <v>494</v>
      </c>
      <c r="K1801" s="20">
        <v>2015</v>
      </c>
      <c r="L1801" s="20">
        <v>61.25</v>
      </c>
      <c r="M1801" s="110">
        <f>IF(L1801="",I1801,(MIN(J1801,(L1801*1.6*J1801))))</f>
        <v>494</v>
      </c>
      <c r="N1801" s="111">
        <f>IF(M1801=0,0,(M1801/J1801))</f>
        <v>1</v>
      </c>
    </row>
    <row r="1802" spans="2:14">
      <c r="B1802" s="73">
        <v>127599</v>
      </c>
      <c r="C1802" s="23" t="s">
        <v>843</v>
      </c>
      <c r="D1802" s="123">
        <f>SUMIF(B$3:B$3844,B1802,M$3:M$3844)/(SUMIF(B$3:B$3844,B1802,J$3:J$3844))</f>
        <v>0.62088482218658614</v>
      </c>
      <c r="E1802" s="23">
        <v>35280</v>
      </c>
      <c r="F1802" s="46" t="s">
        <v>743</v>
      </c>
      <c r="G1802" s="23"/>
      <c r="H1802" s="23"/>
      <c r="I1802" s="41"/>
      <c r="J1802" s="41">
        <v>554</v>
      </c>
      <c r="K1802" s="20">
        <v>2015</v>
      </c>
      <c r="L1802" s="20">
        <v>61.25</v>
      </c>
      <c r="M1802" s="110">
        <f>IF(L1802="",I1802,(MIN(J1802,(L1802*1.6*J1802))))</f>
        <v>554</v>
      </c>
      <c r="N1802" s="111">
        <f>IF(M1802=0,0,(M1802/J1802))</f>
        <v>1</v>
      </c>
    </row>
    <row r="1803" spans="2:14">
      <c r="B1803" s="72">
        <v>127599</v>
      </c>
      <c r="C1803" s="47" t="s">
        <v>843</v>
      </c>
      <c r="D1803" s="123">
        <f>SUMIF(B$3:B$3844,B1803,M$3:M$3844)/(SUMIF(B$3:B$3844,B1803,J$3:J$3844))</f>
        <v>0.62088482218658614</v>
      </c>
      <c r="E1803" s="47">
        <v>35256</v>
      </c>
      <c r="F1803" s="48" t="s">
        <v>881</v>
      </c>
      <c r="G1803" s="47"/>
      <c r="H1803" s="47"/>
      <c r="I1803" s="40"/>
      <c r="J1803" s="40">
        <v>389</v>
      </c>
      <c r="K1803" s="20">
        <v>2015</v>
      </c>
      <c r="L1803" s="20">
        <v>61.25</v>
      </c>
      <c r="M1803" s="110">
        <f>IF(L1803="",I1803,(MIN(J1803,(L1803*1.6*J1803))))</f>
        <v>389</v>
      </c>
      <c r="N1803" s="111">
        <f>IF(M1803=0,0,(M1803/J1803))</f>
        <v>1</v>
      </c>
    </row>
    <row r="1804" spans="2:14">
      <c r="B1804" s="73">
        <v>127599</v>
      </c>
      <c r="C1804" s="23" t="s">
        <v>843</v>
      </c>
      <c r="D1804" s="123">
        <f>SUMIF(B$3:B$3844,B1804,M$3:M$3844)/(SUMIF(B$3:B$3844,B1804,J$3:J$3844))</f>
        <v>0.62088482218658614</v>
      </c>
      <c r="E1804" s="23">
        <v>35302</v>
      </c>
      <c r="F1804" s="46" t="s">
        <v>882</v>
      </c>
      <c r="G1804" s="23"/>
      <c r="H1804" s="23"/>
      <c r="I1804" s="41"/>
      <c r="J1804" s="41">
        <v>509</v>
      </c>
      <c r="K1804" s="20">
        <v>2015</v>
      </c>
      <c r="L1804" s="20">
        <v>61.25</v>
      </c>
      <c r="M1804" s="110">
        <f>IF(L1804="",I1804,(MIN(J1804,(L1804*1.6*J1804))))</f>
        <v>509</v>
      </c>
      <c r="N1804" s="111">
        <f>IF(M1804=0,0,(M1804/J1804))</f>
        <v>1</v>
      </c>
    </row>
    <row r="1805" spans="2:14">
      <c r="B1805" s="72">
        <v>127599</v>
      </c>
      <c r="C1805" s="47" t="s">
        <v>843</v>
      </c>
      <c r="D1805" s="123">
        <f>SUMIF(B$3:B$3844,B1805,M$3:M$3844)/(SUMIF(B$3:B$3844,B1805,J$3:J$3844))</f>
        <v>0.62088482218658614</v>
      </c>
      <c r="E1805" s="47">
        <v>16031060</v>
      </c>
      <c r="F1805" s="48" t="s">
        <v>883</v>
      </c>
      <c r="G1805" s="47"/>
      <c r="H1805" s="47"/>
      <c r="I1805" s="40"/>
      <c r="J1805" s="40">
        <v>75</v>
      </c>
      <c r="K1805" s="20">
        <v>2015</v>
      </c>
      <c r="L1805" s="20">
        <v>61.25</v>
      </c>
      <c r="M1805" s="110">
        <f>IF(L1805="",I1805,(MIN(J1805,(L1805*1.6*J1805))))</f>
        <v>75</v>
      </c>
      <c r="N1805" s="111">
        <f>IF(M1805=0,0,(M1805/J1805))</f>
        <v>1</v>
      </c>
    </row>
    <row r="1806" spans="2:14">
      <c r="B1806" s="73">
        <v>127599</v>
      </c>
      <c r="C1806" s="23" t="s">
        <v>843</v>
      </c>
      <c r="D1806" s="123">
        <f>SUMIF(B$3:B$3844,B1806,M$3:M$3844)/(SUMIF(B$3:B$3844,B1806,J$3:J$3844))</f>
        <v>0.62088482218658614</v>
      </c>
      <c r="E1806" s="23">
        <v>35247</v>
      </c>
      <c r="F1806" s="46" t="s">
        <v>884</v>
      </c>
      <c r="G1806" s="23"/>
      <c r="H1806" s="23"/>
      <c r="I1806" s="41"/>
      <c r="J1806" s="41">
        <v>690</v>
      </c>
      <c r="K1806" s="20">
        <v>2015</v>
      </c>
      <c r="L1806" s="20">
        <v>61.25</v>
      </c>
      <c r="M1806" s="110">
        <f>IF(L1806="",I1806,(MIN(J1806,(L1806*1.6*J1806))))</f>
        <v>690</v>
      </c>
      <c r="N1806" s="111">
        <f>IF(M1806=0,0,(M1806/J1806))</f>
        <v>1</v>
      </c>
    </row>
    <row r="1807" spans="2:14" ht="30">
      <c r="B1807" s="72">
        <v>127599</v>
      </c>
      <c r="C1807" s="47" t="s">
        <v>843</v>
      </c>
      <c r="D1807" s="123">
        <f>SUMIF(B$3:B$3844,B1807,M$3:M$3844)/(SUMIF(B$3:B$3844,B1807,J$3:J$3844))</f>
        <v>0.62088482218658614</v>
      </c>
      <c r="E1807" s="47">
        <v>35265</v>
      </c>
      <c r="F1807" s="48" t="s">
        <v>885</v>
      </c>
      <c r="G1807" s="47"/>
      <c r="H1807" s="47"/>
      <c r="I1807" s="40"/>
      <c r="J1807" s="40">
        <v>285</v>
      </c>
      <c r="K1807" s="20">
        <v>2015</v>
      </c>
      <c r="L1807" s="20">
        <v>61.25</v>
      </c>
      <c r="M1807" s="110">
        <f>IF(L1807="",I1807,(MIN(J1807,(L1807*1.6*J1807))))</f>
        <v>285</v>
      </c>
      <c r="N1807" s="111">
        <f>IF(M1807=0,0,(M1807/J1807))</f>
        <v>1</v>
      </c>
    </row>
    <row r="1808" spans="2:14">
      <c r="B1808" s="73">
        <v>127599</v>
      </c>
      <c r="C1808" s="23" t="s">
        <v>843</v>
      </c>
      <c r="D1808" s="123">
        <f>SUMIF(B$3:B$3844,B1808,M$3:M$3844)/(SUMIF(B$3:B$3844,B1808,J$3:J$3844))</f>
        <v>0.62088482218658614</v>
      </c>
      <c r="E1808" s="23">
        <v>35286</v>
      </c>
      <c r="F1808" s="46" t="s">
        <v>886</v>
      </c>
      <c r="G1808" s="23"/>
      <c r="H1808" s="23"/>
      <c r="I1808" s="41">
        <v>170</v>
      </c>
      <c r="J1808" s="41">
        <v>724</v>
      </c>
      <c r="K1808" s="20"/>
      <c r="L1808" s="20"/>
      <c r="M1808" s="110">
        <f>IF(L1808="",I1808,(MIN(J1808,(L1808*1.6*J1808))))</f>
        <v>170</v>
      </c>
      <c r="N1808" s="111">
        <f>IF(M1808=0,0,(M1808/J1808))</f>
        <v>0.23480662983425415</v>
      </c>
    </row>
    <row r="1809" spans="2:14">
      <c r="B1809" s="72">
        <v>127599</v>
      </c>
      <c r="C1809" s="47" t="s">
        <v>843</v>
      </c>
      <c r="D1809" s="123">
        <f>SUMIF(B$3:B$3844,B1809,M$3:M$3844)/(SUMIF(B$3:B$3844,B1809,J$3:J$3844))</f>
        <v>0.62088482218658614</v>
      </c>
      <c r="E1809" s="47">
        <v>35277</v>
      </c>
      <c r="F1809" s="48" t="s">
        <v>887</v>
      </c>
      <c r="G1809" s="47"/>
      <c r="H1809" s="47"/>
      <c r="I1809" s="40"/>
      <c r="J1809" s="40">
        <v>621</v>
      </c>
      <c r="K1809" s="20">
        <v>2015</v>
      </c>
      <c r="L1809" s="20">
        <v>61.25</v>
      </c>
      <c r="M1809" s="110">
        <f>IF(L1809="",I1809,(MIN(J1809,(L1809*1.6*J1809))))</f>
        <v>621</v>
      </c>
      <c r="N1809" s="111">
        <f>IF(M1809=0,0,(M1809/J1809))</f>
        <v>1</v>
      </c>
    </row>
    <row r="1810" spans="2:14">
      <c r="B1810" s="73">
        <v>127599</v>
      </c>
      <c r="C1810" s="23" t="s">
        <v>843</v>
      </c>
      <c r="D1810" s="123">
        <f>SUMIF(B$3:B$3844,B1810,M$3:M$3844)/(SUMIF(B$3:B$3844,B1810,J$3:J$3844))</f>
        <v>0.62088482218658614</v>
      </c>
      <c r="E1810" s="23">
        <v>16039115</v>
      </c>
      <c r="F1810" s="46" t="s">
        <v>888</v>
      </c>
      <c r="G1810" s="23"/>
      <c r="H1810" s="23"/>
      <c r="I1810" s="41">
        <v>187</v>
      </c>
      <c r="J1810" s="41">
        <v>1021</v>
      </c>
      <c r="K1810" s="20"/>
      <c r="L1810" s="20"/>
      <c r="M1810" s="110">
        <f>IF(L1810="",I1810,(MIN(J1810,(L1810*1.6*J1810))))</f>
        <v>187</v>
      </c>
      <c r="N1810" s="111">
        <f>IF(M1810=0,0,(M1810/J1810))</f>
        <v>0.1831537708129285</v>
      </c>
    </row>
    <row r="1811" spans="2:14">
      <c r="B1811" s="72">
        <v>127599</v>
      </c>
      <c r="C1811" s="47" t="s">
        <v>843</v>
      </c>
      <c r="D1811" s="123">
        <f>SUMIF(B$3:B$3844,B1811,M$3:M$3844)/(SUMIF(B$3:B$3844,B1811,J$3:J$3844))</f>
        <v>0.62088482218658614</v>
      </c>
      <c r="E1811" s="47">
        <v>35369</v>
      </c>
      <c r="F1811" s="48" t="s">
        <v>889</v>
      </c>
      <c r="G1811" s="47"/>
      <c r="H1811" s="47"/>
      <c r="I1811" s="40"/>
      <c r="J1811" s="40">
        <v>422</v>
      </c>
      <c r="K1811" s="20">
        <v>2015</v>
      </c>
      <c r="L1811" s="20">
        <v>61.25</v>
      </c>
      <c r="M1811" s="110">
        <f>IF(L1811="",I1811,(MIN(J1811,(L1811*1.6*J1811))))</f>
        <v>422</v>
      </c>
      <c r="N1811" s="111">
        <f>IF(M1811=0,0,(M1811/J1811))</f>
        <v>1</v>
      </c>
    </row>
    <row r="1812" spans="2:14" ht="30">
      <c r="B1812" s="73">
        <v>127599</v>
      </c>
      <c r="C1812" s="23" t="s">
        <v>843</v>
      </c>
      <c r="D1812" s="123">
        <f>SUMIF(B$3:B$3844,B1812,M$3:M$3844)/(SUMIF(B$3:B$3844,B1812,J$3:J$3844))</f>
        <v>0.62088482218658614</v>
      </c>
      <c r="E1812" s="23">
        <v>16084492</v>
      </c>
      <c r="F1812" s="46" t="s">
        <v>890</v>
      </c>
      <c r="G1812" s="23"/>
      <c r="H1812" s="23"/>
      <c r="I1812" s="41"/>
      <c r="J1812" s="41">
        <v>125</v>
      </c>
      <c r="K1812" s="20">
        <v>2015</v>
      </c>
      <c r="L1812" s="20">
        <v>61.25</v>
      </c>
      <c r="M1812" s="110">
        <f>IF(L1812="",I1812,(MIN(J1812,(L1812*1.6*J1812))))</f>
        <v>125</v>
      </c>
      <c r="N1812" s="111">
        <f>IF(M1812=0,0,(M1812/J1812))</f>
        <v>1</v>
      </c>
    </row>
    <row r="1813" spans="2:14">
      <c r="B1813" s="73">
        <v>127659</v>
      </c>
      <c r="C1813" s="23" t="s">
        <v>891</v>
      </c>
      <c r="D1813" s="123">
        <f>SUMIF(B$3:B$3844,B1813,M$3:M$3844)/(SUMIF(B$3:B$3844,B1813,J$3:J$3844))</f>
        <v>1</v>
      </c>
      <c r="E1813" s="23">
        <v>35722</v>
      </c>
      <c r="F1813" s="46" t="s">
        <v>892</v>
      </c>
      <c r="G1813" s="23"/>
      <c r="H1813" s="23"/>
      <c r="I1813" s="41"/>
      <c r="J1813" s="41">
        <v>609</v>
      </c>
      <c r="K1813" s="20">
        <v>2015</v>
      </c>
      <c r="L1813" s="20">
        <v>63.38</v>
      </c>
      <c r="M1813" s="110">
        <f>IF(L1813="",I1813,(MIN(J1813,(L1813*1.6*J1813))))</f>
        <v>609</v>
      </c>
      <c r="N1813" s="111">
        <f>IF(M1813=0,0,(M1813/J1813))</f>
        <v>1</v>
      </c>
    </row>
    <row r="1814" spans="2:14">
      <c r="B1814" s="72">
        <v>127659</v>
      </c>
      <c r="C1814" s="47" t="s">
        <v>891</v>
      </c>
      <c r="D1814" s="123">
        <f>SUMIF(B$3:B$3844,B1814,M$3:M$3844)/(SUMIF(B$3:B$3844,B1814,J$3:J$3844))</f>
        <v>1</v>
      </c>
      <c r="E1814" s="47">
        <v>35721</v>
      </c>
      <c r="F1814" s="48" t="s">
        <v>893</v>
      </c>
      <c r="G1814" s="47"/>
      <c r="H1814" s="47"/>
      <c r="I1814" s="40"/>
      <c r="J1814" s="40">
        <v>551</v>
      </c>
      <c r="K1814" s="20">
        <v>2015</v>
      </c>
      <c r="L1814" s="20">
        <v>63.38</v>
      </c>
      <c r="M1814" s="110">
        <f>IF(L1814="",I1814,(MIN(J1814,(L1814*1.6*J1814))))</f>
        <v>551</v>
      </c>
      <c r="N1814" s="111">
        <f>IF(M1814=0,0,(M1814/J1814))</f>
        <v>1</v>
      </c>
    </row>
    <row r="1815" spans="2:14">
      <c r="B1815" s="73">
        <v>127659</v>
      </c>
      <c r="C1815" s="23" t="s">
        <v>891</v>
      </c>
      <c r="D1815" s="123">
        <f>SUMIF(B$3:B$3844,B1815,M$3:M$3844)/(SUMIF(B$3:B$3844,B1815,J$3:J$3844))</f>
        <v>1</v>
      </c>
      <c r="E1815" s="23">
        <v>35726</v>
      </c>
      <c r="F1815" s="46" t="s">
        <v>894</v>
      </c>
      <c r="G1815" s="23"/>
      <c r="H1815" s="23"/>
      <c r="I1815" s="41"/>
      <c r="J1815" s="41">
        <v>266</v>
      </c>
      <c r="K1815" s="20">
        <v>2015</v>
      </c>
      <c r="L1815" s="20">
        <v>66.39</v>
      </c>
      <c r="M1815" s="110">
        <f>IF(L1815="",I1815,(MIN(J1815,(L1815*1.6*J1815))))</f>
        <v>266</v>
      </c>
      <c r="N1815" s="111">
        <f>IF(M1815=0,0,(M1815/J1815))</f>
        <v>1</v>
      </c>
    </row>
    <row r="1816" spans="2:14">
      <c r="B1816" s="72">
        <v>127659</v>
      </c>
      <c r="C1816" s="47" t="s">
        <v>891</v>
      </c>
      <c r="D1816" s="123">
        <f>SUMIF(B$3:B$3844,B1816,M$3:M$3844)/(SUMIF(B$3:B$3844,B1816,J$3:J$3844))</f>
        <v>1</v>
      </c>
      <c r="E1816" s="47">
        <v>35730</v>
      </c>
      <c r="F1816" s="48" t="s">
        <v>895</v>
      </c>
      <c r="G1816" s="47"/>
      <c r="H1816" s="47"/>
      <c r="I1816" s="40"/>
      <c r="J1816" s="40">
        <v>759</v>
      </c>
      <c r="K1816" s="20">
        <v>2015</v>
      </c>
      <c r="L1816" s="20">
        <v>59.22</v>
      </c>
      <c r="M1816" s="110">
        <f>IF(L1816="",I1816,(MIN(J1816,(L1816*1.6*J1816))))</f>
        <v>759</v>
      </c>
      <c r="N1816" s="111">
        <f>IF(M1816=0,0,(M1816/J1816))</f>
        <v>1</v>
      </c>
    </row>
    <row r="1817" spans="2:14">
      <c r="B1817" s="73">
        <v>127659</v>
      </c>
      <c r="C1817" s="23" t="s">
        <v>891</v>
      </c>
      <c r="D1817" s="123">
        <f>SUMIF(B$3:B$3844,B1817,M$3:M$3844)/(SUMIF(B$3:B$3844,B1817,J$3:J$3844))</f>
        <v>1</v>
      </c>
      <c r="E1817" s="23">
        <v>35729</v>
      </c>
      <c r="F1817" s="46" t="s">
        <v>896</v>
      </c>
      <c r="G1817" s="23"/>
      <c r="H1817" s="23"/>
      <c r="I1817" s="41"/>
      <c r="J1817" s="41">
        <v>790</v>
      </c>
      <c r="K1817" s="20">
        <v>2015</v>
      </c>
      <c r="L1817" s="20">
        <v>59.22</v>
      </c>
      <c r="M1817" s="110">
        <f>IF(L1817="",I1817,(MIN(J1817,(L1817*1.6*J1817))))</f>
        <v>790</v>
      </c>
      <c r="N1817" s="111">
        <f>IF(M1817=0,0,(M1817/J1817))</f>
        <v>1</v>
      </c>
    </row>
    <row r="1818" spans="2:14">
      <c r="B1818" s="72">
        <v>127659</v>
      </c>
      <c r="C1818" s="47" t="s">
        <v>891</v>
      </c>
      <c r="D1818" s="123">
        <f>SUMIF(B$3:B$3844,B1818,M$3:M$3844)/(SUMIF(B$3:B$3844,B1818,J$3:J$3844))</f>
        <v>1</v>
      </c>
      <c r="E1818" s="47">
        <v>35780</v>
      </c>
      <c r="F1818" s="48" t="s">
        <v>897</v>
      </c>
      <c r="G1818" s="47"/>
      <c r="H1818" s="47"/>
      <c r="I1818" s="40"/>
      <c r="J1818" s="40">
        <v>563</v>
      </c>
      <c r="K1818" s="20">
        <v>2015</v>
      </c>
      <c r="L1818" s="20">
        <v>57.9</v>
      </c>
      <c r="M1818" s="110">
        <f>IF(L1818="",I1818,(MIN(J1818,(L1818*1.6*J1818))))</f>
        <v>563</v>
      </c>
      <c r="N1818" s="111">
        <f>IF(M1818=0,0,(M1818/J1818))</f>
        <v>1</v>
      </c>
    </row>
    <row r="1819" spans="2:14">
      <c r="B1819" s="73">
        <v>127659</v>
      </c>
      <c r="C1819" s="23" t="s">
        <v>891</v>
      </c>
      <c r="D1819" s="123">
        <f>SUMIF(B$3:B$3844,B1819,M$3:M$3844)/(SUMIF(B$3:B$3844,B1819,J$3:J$3844))</f>
        <v>1</v>
      </c>
      <c r="E1819" s="23">
        <v>127659</v>
      </c>
      <c r="F1819" s="46" t="s">
        <v>898</v>
      </c>
      <c r="G1819" s="23"/>
      <c r="H1819" s="23"/>
      <c r="I1819" s="41"/>
      <c r="J1819" s="41" t="s">
        <v>264</v>
      </c>
      <c r="K1819" s="20"/>
      <c r="L1819" s="20"/>
      <c r="M1819" s="110">
        <f>IF(L1819="",I1819,(MIN(J1819,(L1819*1.6*J1819))))</f>
        <v>0</v>
      </c>
      <c r="N1819" s="111">
        <f>IF(M1819=0,0,(M1819/J1819))</f>
        <v>0</v>
      </c>
    </row>
    <row r="1820" spans="2:14">
      <c r="B1820" s="72">
        <v>127659</v>
      </c>
      <c r="C1820" s="47" t="s">
        <v>891</v>
      </c>
      <c r="D1820" s="123">
        <f>SUMIF(B$3:B$3844,B1820,M$3:M$3844)/(SUMIF(B$3:B$3844,B1820,J$3:J$3844))</f>
        <v>1</v>
      </c>
      <c r="E1820" s="47">
        <v>35720</v>
      </c>
      <c r="F1820" s="48" t="s">
        <v>899</v>
      </c>
      <c r="G1820" s="47"/>
      <c r="H1820" s="47"/>
      <c r="I1820" s="40"/>
      <c r="J1820" s="40">
        <v>91</v>
      </c>
      <c r="K1820" s="20">
        <v>2015</v>
      </c>
      <c r="L1820" s="20">
        <v>63.38</v>
      </c>
      <c r="M1820" s="110">
        <f>IF(L1820="",I1820,(MIN(J1820,(L1820*1.6*J1820))))</f>
        <v>91</v>
      </c>
      <c r="N1820" s="111">
        <f>IF(M1820=0,0,(M1820/J1820))</f>
        <v>1</v>
      </c>
    </row>
    <row r="1821" spans="2:14">
      <c r="B1821" s="73">
        <v>127659</v>
      </c>
      <c r="C1821" s="23" t="s">
        <v>891</v>
      </c>
      <c r="D1821" s="123">
        <f>SUMIF(B$3:B$3844,B1821,M$3:M$3844)/(SUMIF(B$3:B$3844,B1821,J$3:J$3844))</f>
        <v>1</v>
      </c>
      <c r="E1821" s="23">
        <v>16037921</v>
      </c>
      <c r="F1821" s="46" t="s">
        <v>900</v>
      </c>
      <c r="G1821" s="23"/>
      <c r="H1821" s="23"/>
      <c r="I1821" s="41"/>
      <c r="J1821" s="41">
        <v>76</v>
      </c>
      <c r="K1821" s="20">
        <v>2015</v>
      </c>
      <c r="L1821" s="20">
        <v>59.22</v>
      </c>
      <c r="M1821" s="110">
        <f>IF(L1821="",I1821,(MIN(J1821,(L1821*1.6*J1821))))</f>
        <v>76</v>
      </c>
      <c r="N1821" s="111">
        <f>IF(M1821=0,0,(M1821/J1821))</f>
        <v>1</v>
      </c>
    </row>
    <row r="1822" spans="2:14">
      <c r="B1822" s="72">
        <v>127659</v>
      </c>
      <c r="C1822" s="47" t="s">
        <v>891</v>
      </c>
      <c r="D1822" s="123">
        <f>SUMIF(B$3:B$3844,B1822,M$3:M$3844)/(SUMIF(B$3:B$3844,B1822,J$3:J$3844))</f>
        <v>1</v>
      </c>
      <c r="E1822" s="47">
        <v>222970</v>
      </c>
      <c r="F1822" s="48" t="s">
        <v>901</v>
      </c>
      <c r="G1822" s="47"/>
      <c r="H1822" s="47"/>
      <c r="I1822" s="40"/>
      <c r="J1822" s="40">
        <v>107</v>
      </c>
      <c r="K1822" s="20">
        <v>2014</v>
      </c>
      <c r="L1822" s="20">
        <v>83.18</v>
      </c>
      <c r="M1822" s="110">
        <f>IF(L1822="",I1822,(MIN(J1822,(L1822*1.6*J1822))))</f>
        <v>107</v>
      </c>
      <c r="N1822" s="111">
        <f>IF(M1822=0,0,(M1822/J1822))</f>
        <v>1</v>
      </c>
    </row>
    <row r="1823" spans="2:14">
      <c r="B1823" s="73">
        <v>127659</v>
      </c>
      <c r="C1823" s="23" t="s">
        <v>891</v>
      </c>
      <c r="D1823" s="123">
        <f>SUMIF(B$3:B$3844,B1823,M$3:M$3844)/(SUMIF(B$3:B$3844,B1823,J$3:J$3844))</f>
        <v>1</v>
      </c>
      <c r="E1823" s="23">
        <v>35781</v>
      </c>
      <c r="F1823" s="46" t="s">
        <v>902</v>
      </c>
      <c r="G1823" s="23"/>
      <c r="H1823" s="23"/>
      <c r="I1823" s="41"/>
      <c r="J1823" s="41">
        <v>468</v>
      </c>
      <c r="K1823" s="20">
        <v>2015</v>
      </c>
      <c r="L1823" s="20">
        <v>57.9</v>
      </c>
      <c r="M1823" s="110">
        <f>IF(L1823="",I1823,(MIN(J1823,(L1823*1.6*J1823))))</f>
        <v>468</v>
      </c>
      <c r="N1823" s="111">
        <f>IF(M1823=0,0,(M1823/J1823))</f>
        <v>1</v>
      </c>
    </row>
    <row r="1824" spans="2:14">
      <c r="B1824" s="72">
        <v>127659</v>
      </c>
      <c r="C1824" s="47" t="s">
        <v>891</v>
      </c>
      <c r="D1824" s="123">
        <f>SUMIF(B$3:B$3844,B1824,M$3:M$3844)/(SUMIF(B$3:B$3844,B1824,J$3:J$3844))</f>
        <v>1</v>
      </c>
      <c r="E1824" s="47">
        <v>35778</v>
      </c>
      <c r="F1824" s="48" t="s">
        <v>903</v>
      </c>
      <c r="G1824" s="47"/>
      <c r="H1824" s="47"/>
      <c r="I1824" s="40"/>
      <c r="J1824" s="40">
        <v>555</v>
      </c>
      <c r="K1824" s="20">
        <v>2015</v>
      </c>
      <c r="L1824" s="20">
        <v>57.9</v>
      </c>
      <c r="M1824" s="110">
        <f>IF(L1824="",I1824,(MIN(J1824,(L1824*1.6*J1824))))</f>
        <v>555</v>
      </c>
      <c r="N1824" s="111">
        <f>IF(M1824=0,0,(M1824/J1824))</f>
        <v>1</v>
      </c>
    </row>
    <row r="1825" spans="2:14">
      <c r="B1825" s="73">
        <v>127659</v>
      </c>
      <c r="C1825" s="23" t="s">
        <v>891</v>
      </c>
      <c r="D1825" s="123">
        <f>SUMIF(B$3:B$3844,B1825,M$3:M$3844)/(SUMIF(B$3:B$3844,B1825,J$3:J$3844))</f>
        <v>1</v>
      </c>
      <c r="E1825" s="23">
        <v>35779</v>
      </c>
      <c r="F1825" s="46" t="s">
        <v>904</v>
      </c>
      <c r="G1825" s="23"/>
      <c r="H1825" s="23"/>
      <c r="I1825" s="41"/>
      <c r="J1825" s="41">
        <v>399</v>
      </c>
      <c r="K1825" s="20">
        <v>2015</v>
      </c>
      <c r="L1825" s="20">
        <v>57.9</v>
      </c>
      <c r="M1825" s="110">
        <f>IF(L1825="",I1825,(MIN(J1825,(L1825*1.6*J1825))))</f>
        <v>399</v>
      </c>
      <c r="N1825" s="111">
        <f>IF(M1825=0,0,(M1825/J1825))</f>
        <v>1</v>
      </c>
    </row>
    <row r="1826" spans="2:14">
      <c r="B1826" s="72">
        <v>127659</v>
      </c>
      <c r="C1826" s="47" t="s">
        <v>891</v>
      </c>
      <c r="D1826" s="123">
        <f>SUMIF(B$3:B$3844,B1826,M$3:M$3844)/(SUMIF(B$3:B$3844,B1826,J$3:J$3844))</f>
        <v>1</v>
      </c>
      <c r="E1826" s="47">
        <v>38607</v>
      </c>
      <c r="F1826" s="48" t="s">
        <v>905</v>
      </c>
      <c r="G1826" s="47"/>
      <c r="H1826" s="47"/>
      <c r="I1826" s="40"/>
      <c r="J1826" s="40">
        <v>207</v>
      </c>
      <c r="K1826" s="20">
        <v>2015</v>
      </c>
      <c r="L1826" s="20">
        <v>67.94</v>
      </c>
      <c r="M1826" s="110">
        <f>IF(L1826="",I1826,(MIN(J1826,(L1826*1.6*J1826))))</f>
        <v>207</v>
      </c>
      <c r="N1826" s="111">
        <f>IF(M1826=0,0,(M1826/J1826))</f>
        <v>1</v>
      </c>
    </row>
    <row r="1827" spans="2:14">
      <c r="B1827" s="73">
        <v>127604</v>
      </c>
      <c r="C1827" s="23" t="s">
        <v>2120</v>
      </c>
      <c r="D1827" s="123">
        <f>SUMIF(B$3:B$3844,B1827,M$3:M$3844)/(SUMIF(B$3:B$3844,B1827,J$3:J$3844))</f>
        <v>0.7856029756795424</v>
      </c>
      <c r="E1827" s="23">
        <v>35335</v>
      </c>
      <c r="F1827" s="46" t="s">
        <v>2121</v>
      </c>
      <c r="G1827" s="23"/>
      <c r="H1827" s="23"/>
      <c r="I1827" s="41"/>
      <c r="J1827" s="41">
        <v>424</v>
      </c>
      <c r="K1827" s="20">
        <v>2014</v>
      </c>
      <c r="L1827" s="21">
        <v>0.46060000000000001</v>
      </c>
      <c r="M1827" s="110">
        <f>IF(L1827="",I1827,(MIN(J1827,(L1827*1.6*J1827))))</f>
        <v>312.47104000000002</v>
      </c>
      <c r="N1827" s="111">
        <f>IF(M1827=0,0,(M1827/J1827))</f>
        <v>0.73696000000000006</v>
      </c>
    </row>
    <row r="1828" spans="2:14">
      <c r="B1828" s="72">
        <v>127604</v>
      </c>
      <c r="C1828" s="47" t="s">
        <v>2120</v>
      </c>
      <c r="D1828" s="123">
        <f>SUMIF(B$3:B$3844,B1828,M$3:M$3844)/(SUMIF(B$3:B$3844,B1828,J$3:J$3844))</f>
        <v>0.7856029756795424</v>
      </c>
      <c r="E1828" s="47">
        <v>35309</v>
      </c>
      <c r="F1828" s="48" t="s">
        <v>2122</v>
      </c>
      <c r="G1828" s="47"/>
      <c r="H1828" s="47"/>
      <c r="I1828" s="40"/>
      <c r="J1828" s="40">
        <v>0</v>
      </c>
      <c r="K1828" s="20">
        <v>2015</v>
      </c>
      <c r="L1828" s="21">
        <v>0.42820000000000003</v>
      </c>
      <c r="M1828" s="110">
        <f>IF(L1828="",I1828,(MIN(J1828,(L1828*1.6*J1828))))</f>
        <v>0</v>
      </c>
      <c r="N1828" s="111">
        <f>IF(M1828=0,0,(M1828/J1828))</f>
        <v>0</v>
      </c>
    </row>
    <row r="1829" spans="2:14">
      <c r="B1829" s="73">
        <v>127604</v>
      </c>
      <c r="C1829" s="23" t="s">
        <v>2120</v>
      </c>
      <c r="D1829" s="123">
        <f>SUMIF(B$3:B$3844,B1829,M$3:M$3844)/(SUMIF(B$3:B$3844,B1829,J$3:J$3844))</f>
        <v>0.7856029756795424</v>
      </c>
      <c r="E1829" s="23">
        <v>35311</v>
      </c>
      <c r="F1829" s="46" t="s">
        <v>2123</v>
      </c>
      <c r="G1829" s="23"/>
      <c r="H1829" s="23"/>
      <c r="I1829" s="41"/>
      <c r="J1829" s="41">
        <v>327</v>
      </c>
      <c r="K1829" s="20">
        <v>2015</v>
      </c>
      <c r="L1829" s="21">
        <v>0.42820000000000003</v>
      </c>
      <c r="M1829" s="110">
        <f>IF(L1829="",I1829,(MIN(J1829,(L1829*1.6*J1829))))</f>
        <v>224.03424000000001</v>
      </c>
      <c r="N1829" s="111">
        <f>IF(M1829=0,0,(M1829/J1829))</f>
        <v>0.68512000000000006</v>
      </c>
    </row>
    <row r="1830" spans="2:14">
      <c r="B1830" s="72">
        <v>127604</v>
      </c>
      <c r="C1830" s="47" t="s">
        <v>2120</v>
      </c>
      <c r="D1830" s="123">
        <f>SUMIF(B$3:B$3844,B1830,M$3:M$3844)/(SUMIF(B$3:B$3844,B1830,J$3:J$3844))</f>
        <v>0.7856029756795424</v>
      </c>
      <c r="E1830" s="47">
        <v>16020281</v>
      </c>
      <c r="F1830" s="48" t="s">
        <v>2124</v>
      </c>
      <c r="G1830" s="47"/>
      <c r="H1830" s="47"/>
      <c r="I1830" s="40"/>
      <c r="J1830" s="40">
        <v>57</v>
      </c>
      <c r="K1830" s="20">
        <v>2015</v>
      </c>
      <c r="L1830" s="21">
        <v>0.57940000000000003</v>
      </c>
      <c r="M1830" s="110">
        <f>IF(L1830="",I1830,(MIN(J1830,(L1830*1.6*J1830))))</f>
        <v>52.841280000000005</v>
      </c>
      <c r="N1830" s="111">
        <f>IF(M1830=0,0,(M1830/J1830))</f>
        <v>0.92704000000000009</v>
      </c>
    </row>
    <row r="1831" spans="2:14">
      <c r="B1831" s="73">
        <v>127604</v>
      </c>
      <c r="C1831" s="23" t="s">
        <v>2120</v>
      </c>
      <c r="D1831" s="123">
        <f>SUMIF(B$3:B$3844,B1831,M$3:M$3844)/(SUMIF(B$3:B$3844,B1831,J$3:J$3844))</f>
        <v>0.7856029756795424</v>
      </c>
      <c r="E1831" s="23">
        <v>183160</v>
      </c>
      <c r="F1831" s="46" t="s">
        <v>2125</v>
      </c>
      <c r="G1831" s="23"/>
      <c r="H1831" s="23"/>
      <c r="I1831" s="41"/>
      <c r="J1831" s="41">
        <v>19</v>
      </c>
      <c r="K1831" s="20">
        <v>2015</v>
      </c>
      <c r="L1831" s="21">
        <v>0.42820000000000003</v>
      </c>
      <c r="M1831" s="110">
        <f>IF(L1831="",I1831,(MIN(J1831,(L1831*1.6*J1831))))</f>
        <v>13.017280000000001</v>
      </c>
      <c r="N1831" s="111">
        <f>IF(M1831=0,0,(M1831/J1831))</f>
        <v>0.68512000000000006</v>
      </c>
    </row>
    <row r="1832" spans="2:14">
      <c r="B1832" s="72">
        <v>127604</v>
      </c>
      <c r="C1832" s="47" t="s">
        <v>2120</v>
      </c>
      <c r="D1832" s="123">
        <f>SUMIF(B$3:B$3844,B1832,M$3:M$3844)/(SUMIF(B$3:B$3844,B1832,J$3:J$3844))</f>
        <v>0.7856029756795424</v>
      </c>
      <c r="E1832" s="47">
        <v>212320</v>
      </c>
      <c r="F1832" s="48" t="s">
        <v>2126</v>
      </c>
      <c r="G1832" s="47"/>
      <c r="H1832" s="47"/>
      <c r="I1832" s="40"/>
      <c r="J1832" s="40">
        <v>39</v>
      </c>
      <c r="K1832" s="20"/>
      <c r="L1832" s="21"/>
      <c r="M1832" s="110">
        <f>IF(L1832="",I1832,(MIN(J1832,(L1832*1.6*J1832))))</f>
        <v>0</v>
      </c>
      <c r="N1832" s="111">
        <f>IF(M1832=0,0,(M1832/J1832))</f>
        <v>0</v>
      </c>
    </row>
    <row r="1833" spans="2:14">
      <c r="B1833" s="73">
        <v>127604</v>
      </c>
      <c r="C1833" s="23" t="s">
        <v>2120</v>
      </c>
      <c r="D1833" s="123">
        <f>SUMIF(B$3:B$3844,B1833,M$3:M$3844)/(SUMIF(B$3:B$3844,B1833,J$3:J$3844))</f>
        <v>0.7856029756795424</v>
      </c>
      <c r="E1833" s="23">
        <v>35312</v>
      </c>
      <c r="F1833" s="46" t="s">
        <v>2127</v>
      </c>
      <c r="G1833" s="23"/>
      <c r="H1833" s="23"/>
      <c r="I1833" s="41"/>
      <c r="J1833" s="41">
        <v>532</v>
      </c>
      <c r="K1833" s="20">
        <v>2014</v>
      </c>
      <c r="L1833" s="21">
        <v>0.58260000000000001</v>
      </c>
      <c r="M1833" s="110">
        <f>IF(L1833="",I1833,(MIN(J1833,(L1833*1.6*J1833))))</f>
        <v>495.90912000000003</v>
      </c>
      <c r="N1833" s="111">
        <f>IF(M1833=0,0,(M1833/J1833))</f>
        <v>0.9321600000000001</v>
      </c>
    </row>
    <row r="1834" spans="2:14">
      <c r="B1834" s="73">
        <v>127608</v>
      </c>
      <c r="C1834" s="23" t="s">
        <v>2128</v>
      </c>
      <c r="D1834" s="123">
        <f>SUMIF(B$3:B$3844,B1834,M$3:M$3844)/(SUMIF(B$3:B$3844,B1834,J$3:J$3844))</f>
        <v>0.93598686910135409</v>
      </c>
      <c r="E1834" s="23">
        <v>233460</v>
      </c>
      <c r="F1834" s="46" t="s">
        <v>2129</v>
      </c>
      <c r="G1834" s="23"/>
      <c r="H1834" s="23"/>
      <c r="I1834" s="41"/>
      <c r="J1834" s="41">
        <v>143</v>
      </c>
      <c r="K1834" s="20">
        <v>2015</v>
      </c>
      <c r="L1834" s="21">
        <v>0.63549999999999995</v>
      </c>
      <c r="M1834" s="110">
        <f>IF(L1834="",I1834,(MIN(J1834,(L1834*1.6*J1834))))</f>
        <v>143</v>
      </c>
      <c r="N1834" s="111">
        <f>IF(M1834=0,0,(M1834/J1834))</f>
        <v>1</v>
      </c>
    </row>
    <row r="1835" spans="2:14">
      <c r="B1835" s="72">
        <v>127608</v>
      </c>
      <c r="C1835" s="47" t="s">
        <v>2128</v>
      </c>
      <c r="D1835" s="123">
        <f>SUMIF(B$3:B$3844,B1835,M$3:M$3844)/(SUMIF(B$3:B$3844,B1835,J$3:J$3844))</f>
        <v>0.93598686910135409</v>
      </c>
      <c r="E1835" s="47">
        <v>150029</v>
      </c>
      <c r="F1835" s="48" t="s">
        <v>2130</v>
      </c>
      <c r="G1835" s="47"/>
      <c r="H1835" s="47"/>
      <c r="I1835" s="40">
        <v>21</v>
      </c>
      <c r="J1835" s="40">
        <v>22</v>
      </c>
      <c r="K1835" s="20"/>
      <c r="L1835" s="21"/>
      <c r="M1835" s="110">
        <f>IF(L1835="",I1835,(MIN(J1835,(L1835*1.6*J1835))))</f>
        <v>21</v>
      </c>
      <c r="N1835" s="111">
        <f>IF(M1835=0,0,(M1835/J1835))</f>
        <v>0.95454545454545459</v>
      </c>
    </row>
    <row r="1836" spans="2:14">
      <c r="B1836" s="73">
        <v>127608</v>
      </c>
      <c r="C1836" s="23" t="s">
        <v>2128</v>
      </c>
      <c r="D1836" s="123">
        <f>SUMIF(B$3:B$3844,B1836,M$3:M$3844)/(SUMIF(B$3:B$3844,B1836,J$3:J$3844))</f>
        <v>0.93598686910135409</v>
      </c>
      <c r="E1836" s="23">
        <v>233463</v>
      </c>
      <c r="F1836" s="46" t="s">
        <v>2131</v>
      </c>
      <c r="G1836" s="23"/>
      <c r="H1836" s="23"/>
      <c r="I1836" s="41"/>
      <c r="J1836" s="41">
        <v>272</v>
      </c>
      <c r="K1836" s="20">
        <v>2015</v>
      </c>
      <c r="L1836" s="21">
        <v>0.63549999999999995</v>
      </c>
      <c r="M1836" s="110">
        <f>IF(L1836="",I1836,(MIN(J1836,(L1836*1.6*J1836))))</f>
        <v>272</v>
      </c>
      <c r="N1836" s="111">
        <f>IF(M1836=0,0,(M1836/J1836))</f>
        <v>1</v>
      </c>
    </row>
    <row r="1837" spans="2:14">
      <c r="B1837" s="72">
        <v>127608</v>
      </c>
      <c r="C1837" s="47" t="s">
        <v>2128</v>
      </c>
      <c r="D1837" s="123">
        <f>SUMIF(B$3:B$3844,B1837,M$3:M$3844)/(SUMIF(B$3:B$3844,B1837,J$3:J$3844))</f>
        <v>0.93598686910135409</v>
      </c>
      <c r="E1837" s="47">
        <v>233461</v>
      </c>
      <c r="F1837" s="48" t="s">
        <v>2132</v>
      </c>
      <c r="G1837" s="47"/>
      <c r="H1837" s="47"/>
      <c r="I1837" s="40"/>
      <c r="J1837" s="40">
        <v>1196</v>
      </c>
      <c r="K1837" s="20">
        <v>2015</v>
      </c>
      <c r="L1837" s="21">
        <v>0.63549999999999995</v>
      </c>
      <c r="M1837" s="110">
        <f>IF(L1837="",I1837,(MIN(J1837,(L1837*1.6*J1837))))</f>
        <v>1196</v>
      </c>
      <c r="N1837" s="111">
        <f>IF(M1837=0,0,(M1837/J1837))</f>
        <v>1</v>
      </c>
    </row>
    <row r="1838" spans="2:14">
      <c r="B1838" s="73">
        <v>127608</v>
      </c>
      <c r="C1838" s="23" t="s">
        <v>2128</v>
      </c>
      <c r="D1838" s="123">
        <f>SUMIF(B$3:B$3844,B1838,M$3:M$3844)/(SUMIF(B$3:B$3844,B1838,J$3:J$3844))</f>
        <v>0.93598686910135409</v>
      </c>
      <c r="E1838" s="23">
        <v>226840</v>
      </c>
      <c r="F1838" s="46" t="s">
        <v>2133</v>
      </c>
      <c r="G1838" s="23"/>
      <c r="H1838" s="23"/>
      <c r="I1838" s="41"/>
      <c r="J1838" s="41">
        <v>32</v>
      </c>
      <c r="K1838" s="20">
        <v>2015</v>
      </c>
      <c r="L1838" s="21">
        <v>0.63549999999999995</v>
      </c>
      <c r="M1838" s="110">
        <f>IF(L1838="",I1838,(MIN(J1838,(L1838*1.6*J1838))))</f>
        <v>32</v>
      </c>
      <c r="N1838" s="111">
        <f>IF(M1838=0,0,(M1838/J1838))</f>
        <v>1</v>
      </c>
    </row>
    <row r="1839" spans="2:14">
      <c r="B1839" s="72">
        <v>127608</v>
      </c>
      <c r="C1839" s="47" t="s">
        <v>2128</v>
      </c>
      <c r="D1839" s="123">
        <f>SUMIF(B$3:B$3844,B1839,M$3:M$3844)/(SUMIF(B$3:B$3844,B1839,J$3:J$3844))</f>
        <v>0.93598686910135409</v>
      </c>
      <c r="E1839" s="47">
        <v>35339</v>
      </c>
      <c r="F1839" s="48" t="s">
        <v>2134</v>
      </c>
      <c r="G1839" s="47"/>
      <c r="H1839" s="47"/>
      <c r="I1839" s="40">
        <v>407</v>
      </c>
      <c r="J1839" s="40">
        <v>562</v>
      </c>
      <c r="K1839" s="20"/>
      <c r="L1839" s="21"/>
      <c r="M1839" s="110">
        <f>IF(L1839="",I1839,(MIN(J1839,(L1839*1.6*J1839))))</f>
        <v>407</v>
      </c>
      <c r="N1839" s="111">
        <f>IF(M1839=0,0,(M1839/J1839))</f>
        <v>0.72419928825622781</v>
      </c>
    </row>
    <row r="1840" spans="2:14">
      <c r="B1840" s="73">
        <v>127608</v>
      </c>
      <c r="C1840" s="23" t="s">
        <v>2128</v>
      </c>
      <c r="D1840" s="123">
        <f>SUMIF(B$3:B$3844,B1840,M$3:M$3844)/(SUMIF(B$3:B$3844,B1840,J$3:J$3844))</f>
        <v>0.93598686910135409</v>
      </c>
      <c r="E1840" s="23">
        <v>233462</v>
      </c>
      <c r="F1840" s="46" t="s">
        <v>2135</v>
      </c>
      <c r="G1840" s="23"/>
      <c r="H1840" s="23"/>
      <c r="I1840" s="41"/>
      <c r="J1840" s="41">
        <v>210</v>
      </c>
      <c r="K1840" s="20">
        <v>2015</v>
      </c>
      <c r="L1840" s="21">
        <v>0.63549999999999995</v>
      </c>
      <c r="M1840" s="110">
        <f>IF(L1840="",I1840,(MIN(J1840,(L1840*1.6*J1840))))</f>
        <v>210</v>
      </c>
      <c r="N1840" s="111">
        <f>IF(M1840=0,0,(M1840/J1840))</f>
        <v>1</v>
      </c>
    </row>
    <row r="1841" spans="2:14">
      <c r="B1841" s="73">
        <v>127848</v>
      </c>
      <c r="C1841" s="23" t="str">
        <f>"MANATEE"</f>
        <v>MANATEE</v>
      </c>
      <c r="D1841" s="123">
        <f>SUMIF(B$3:B$3844,B1841,M$3:M$3844)/(SUMIF(B$3:B$3844,B1841,J$3:J$3844))</f>
        <v>0.64425696034711344</v>
      </c>
      <c r="E1841" s="23">
        <v>38436</v>
      </c>
      <c r="F1841" s="46" t="str">
        <f>"ANNA MARIA ELEMENTARY SCHOOL"</f>
        <v>ANNA MARIA ELEMENTARY SCHOOL</v>
      </c>
      <c r="G1841" s="23"/>
      <c r="H1841" s="23"/>
      <c r="I1841" s="41">
        <v>97</v>
      </c>
      <c r="J1841" s="41">
        <v>272</v>
      </c>
      <c r="K1841" s="20"/>
      <c r="L1841" s="21"/>
      <c r="M1841" s="110">
        <f>IF(L1841="",I1841,(MIN(J1841,(L1841*1.6*J1841))))</f>
        <v>97</v>
      </c>
      <c r="N1841" s="111">
        <f>IF(M1841=0,0,(M1841/J1841))</f>
        <v>0.35661764705882354</v>
      </c>
    </row>
    <row r="1842" spans="2:14">
      <c r="B1842" s="72">
        <v>127848</v>
      </c>
      <c r="C1842" s="47" t="str">
        <f>"MANATEE"</f>
        <v>MANATEE</v>
      </c>
      <c r="D1842" s="123">
        <f>SUMIF(B$3:B$3844,B1842,M$3:M$3844)/(SUMIF(B$3:B$3844,B1842,J$3:J$3844))</f>
        <v>0.64425696034711344</v>
      </c>
      <c r="E1842" s="47">
        <v>16042434</v>
      </c>
      <c r="F1842" s="48" t="s">
        <v>2138</v>
      </c>
      <c r="G1842" s="47"/>
      <c r="H1842" s="47"/>
      <c r="I1842" s="40">
        <v>319</v>
      </c>
      <c r="J1842" s="40">
        <v>913</v>
      </c>
      <c r="K1842" s="20"/>
      <c r="L1842" s="21"/>
      <c r="M1842" s="110">
        <f>IF(L1842="",I1842,(MIN(J1842,(L1842*1.6*J1842))))</f>
        <v>319</v>
      </c>
      <c r="N1842" s="111">
        <f>IF(M1842=0,0,(M1842/J1842))</f>
        <v>0.3493975903614458</v>
      </c>
    </row>
    <row r="1843" spans="2:14">
      <c r="B1843" s="73">
        <v>127848</v>
      </c>
      <c r="C1843" s="23" t="str">
        <f>"MANATEE"</f>
        <v>MANATEE</v>
      </c>
      <c r="D1843" s="123">
        <f>SUMIF(B$3:B$3844,B1843,M$3:M$3844)/(SUMIF(B$3:B$3844,B1843,J$3:J$3844))</f>
        <v>0.64425696034711344</v>
      </c>
      <c r="E1843" s="23">
        <v>16042433</v>
      </c>
      <c r="F1843" s="46" t="str">
        <f>"B.D. GULLETT ELEMENTARY SCHOOL"</f>
        <v>B.D. GULLETT ELEMENTARY SCHOOL</v>
      </c>
      <c r="G1843" s="23"/>
      <c r="H1843" s="23"/>
      <c r="I1843" s="41">
        <v>291</v>
      </c>
      <c r="J1843" s="41">
        <v>784</v>
      </c>
      <c r="K1843" s="20"/>
      <c r="L1843" s="21"/>
      <c r="M1843" s="110">
        <f>IF(L1843="",I1843,(MIN(J1843,(L1843*1.6*J1843))))</f>
        <v>291</v>
      </c>
      <c r="N1843" s="111">
        <f>IF(M1843=0,0,(M1843/J1843))</f>
        <v>0.37117346938775508</v>
      </c>
    </row>
    <row r="1844" spans="2:14">
      <c r="B1844" s="72">
        <v>127848</v>
      </c>
      <c r="C1844" s="47" t="str">
        <f>"MANATEE"</f>
        <v>MANATEE</v>
      </c>
      <c r="D1844" s="123">
        <f>SUMIF(B$3:B$3844,B1844,M$3:M$3844)/(SUMIF(B$3:B$3844,B1844,J$3:J$3844))</f>
        <v>0.64425696034711344</v>
      </c>
      <c r="E1844" s="47">
        <v>38409</v>
      </c>
      <c r="F1844" s="48" t="str">
        <f>"BALLARD ELEMENTARY SCHOOL"</f>
        <v>BALLARD ELEMENTARY SCHOOL</v>
      </c>
      <c r="G1844" s="47"/>
      <c r="H1844" s="47"/>
      <c r="I1844" s="40"/>
      <c r="J1844" s="40">
        <v>434</v>
      </c>
      <c r="K1844" s="20">
        <v>2015</v>
      </c>
      <c r="L1844" s="21">
        <v>0.68519999999999992</v>
      </c>
      <c r="M1844" s="110">
        <f>IF(L1844="",I1844,(MIN(J1844,(L1844*1.6*J1844))))</f>
        <v>434</v>
      </c>
      <c r="N1844" s="111">
        <f>IF(M1844=0,0,(M1844/J1844))</f>
        <v>1</v>
      </c>
    </row>
    <row r="1845" spans="2:14">
      <c r="B1845" s="73">
        <v>127848</v>
      </c>
      <c r="C1845" s="23" t="str">
        <f>"MANATEE"</f>
        <v>MANATEE</v>
      </c>
      <c r="D1845" s="123">
        <f>SUMIF(B$3:B$3844,B1845,M$3:M$3844)/(SUMIF(B$3:B$3844,B1845,J$3:J$3844))</f>
        <v>0.64425696034711344</v>
      </c>
      <c r="E1845" s="23">
        <v>38412</v>
      </c>
      <c r="F1845" s="46" t="str">
        <f>"BAYSHORE ELEMENTARY SCHOOL"</f>
        <v>BAYSHORE ELEMENTARY SCHOOL</v>
      </c>
      <c r="G1845" s="23"/>
      <c r="H1845" s="23"/>
      <c r="I1845" s="41"/>
      <c r="J1845" s="41">
        <v>795</v>
      </c>
      <c r="K1845" s="20">
        <v>2015</v>
      </c>
      <c r="L1845" s="21">
        <v>0.68519999999999992</v>
      </c>
      <c r="M1845" s="110">
        <f>IF(L1845="",I1845,(MIN(J1845,(L1845*1.6*J1845))))</f>
        <v>795</v>
      </c>
      <c r="N1845" s="111">
        <f>IF(M1845=0,0,(M1845/J1845))</f>
        <v>1</v>
      </c>
    </row>
    <row r="1846" spans="2:14">
      <c r="B1846" s="72">
        <v>127848</v>
      </c>
      <c r="C1846" s="47" t="str">
        <f>"MANATEE"</f>
        <v>MANATEE</v>
      </c>
      <c r="D1846" s="123">
        <f>SUMIF(B$3:B$3844,B1846,M$3:M$3844)/(SUMIF(B$3:B$3844,B1846,J$3:J$3844))</f>
        <v>0.64425696034711344</v>
      </c>
      <c r="E1846" s="47">
        <v>38433</v>
      </c>
      <c r="F1846" s="48" t="str">
        <f>"BAYSHORE HIGH SCHOOL"</f>
        <v>BAYSHORE HIGH SCHOOL</v>
      </c>
      <c r="G1846" s="47"/>
      <c r="H1846" s="47"/>
      <c r="I1846" s="40"/>
      <c r="J1846" s="40">
        <v>1453</v>
      </c>
      <c r="K1846" s="20">
        <v>2015</v>
      </c>
      <c r="L1846" s="21">
        <v>0.68519999999999992</v>
      </c>
      <c r="M1846" s="110">
        <f>IF(L1846="",I1846,(MIN(J1846,(L1846*1.6*J1846))))</f>
        <v>1453</v>
      </c>
      <c r="N1846" s="111">
        <f>IF(M1846=0,0,(M1846/J1846))</f>
        <v>1</v>
      </c>
    </row>
    <row r="1847" spans="2:14">
      <c r="B1847" s="73">
        <v>127848</v>
      </c>
      <c r="C1847" s="23" t="str">
        <f>"MANATEE"</f>
        <v>MANATEE</v>
      </c>
      <c r="D1847" s="123">
        <f>SUMIF(B$3:B$3844,B1847,M$3:M$3844)/(SUMIF(B$3:B$3844,B1847,J$3:J$3844))</f>
        <v>0.64425696034711344</v>
      </c>
      <c r="E1847" s="23">
        <v>38444</v>
      </c>
      <c r="F1847" s="46" t="str">
        <f>"BLACKBURN ELEMENTARY SCHOOL"</f>
        <v>BLACKBURN ELEMENTARY SCHOOL</v>
      </c>
      <c r="G1847" s="23"/>
      <c r="H1847" s="23"/>
      <c r="I1847" s="41"/>
      <c r="J1847" s="41">
        <v>449</v>
      </c>
      <c r="K1847" s="20">
        <v>2015</v>
      </c>
      <c r="L1847" s="21">
        <v>0.68519999999999992</v>
      </c>
      <c r="M1847" s="110">
        <f>IF(L1847="",I1847,(MIN(J1847,(L1847*1.6*J1847))))</f>
        <v>449</v>
      </c>
      <c r="N1847" s="111">
        <f>IF(M1847=0,0,(M1847/J1847))</f>
        <v>1</v>
      </c>
    </row>
    <row r="1848" spans="2:14">
      <c r="B1848" s="72">
        <v>127848</v>
      </c>
      <c r="C1848" s="47" t="str">
        <f>"MANATEE"</f>
        <v>MANATEE</v>
      </c>
      <c r="D1848" s="123">
        <f>SUMIF(B$3:B$3844,B1848,M$3:M$3844)/(SUMIF(B$3:B$3844,B1848,J$3:J$3844))</f>
        <v>0.64425696034711344</v>
      </c>
      <c r="E1848" s="47">
        <v>38398</v>
      </c>
      <c r="F1848" s="48" t="s">
        <v>2139</v>
      </c>
      <c r="G1848" s="47"/>
      <c r="H1848" s="47"/>
      <c r="I1848" s="40"/>
      <c r="J1848" s="40">
        <v>714</v>
      </c>
      <c r="K1848" s="20">
        <v>2015</v>
      </c>
      <c r="L1848" s="21">
        <v>0.68519999999999992</v>
      </c>
      <c r="M1848" s="110">
        <f>IF(L1848="",I1848,(MIN(J1848,(L1848*1.6*J1848))))</f>
        <v>714</v>
      </c>
      <c r="N1848" s="111">
        <f>IF(M1848=0,0,(M1848/J1848))</f>
        <v>1</v>
      </c>
    </row>
    <row r="1849" spans="2:14">
      <c r="B1849" s="73">
        <v>127848</v>
      </c>
      <c r="C1849" s="23" t="str">
        <f>"MANATEE"</f>
        <v>MANATEE</v>
      </c>
      <c r="D1849" s="123">
        <f>SUMIF(B$3:B$3844,B1849,M$3:M$3844)/(SUMIF(B$3:B$3844,B1849,J$3:J$3844))</f>
        <v>0.64425696034711344</v>
      </c>
      <c r="E1849" s="23">
        <v>38393</v>
      </c>
      <c r="F1849" s="46" t="str">
        <f>"BRADEN RIVER ELEMENTARY SCHOOL"</f>
        <v>BRADEN RIVER ELEMENTARY SCHOOL</v>
      </c>
      <c r="G1849" s="23"/>
      <c r="H1849" s="23"/>
      <c r="I1849" s="41">
        <v>245</v>
      </c>
      <c r="J1849" s="41">
        <v>685</v>
      </c>
      <c r="K1849" s="20"/>
      <c r="L1849" s="21"/>
      <c r="M1849" s="110">
        <f>IF(L1849="",I1849,(MIN(J1849,(L1849*1.6*J1849))))</f>
        <v>245</v>
      </c>
      <c r="N1849" s="111">
        <f>IF(M1849=0,0,(M1849/J1849))</f>
        <v>0.35766423357664234</v>
      </c>
    </row>
    <row r="1850" spans="2:14">
      <c r="B1850" s="72">
        <v>127848</v>
      </c>
      <c r="C1850" s="47" t="str">
        <f>"MANATEE"</f>
        <v>MANATEE</v>
      </c>
      <c r="D1850" s="123">
        <f>SUMIF(B$3:B$3844,B1850,M$3:M$3844)/(SUMIF(B$3:B$3844,B1850,J$3:J$3844))</f>
        <v>0.64425696034711344</v>
      </c>
      <c r="E1850" s="47">
        <v>16026129</v>
      </c>
      <c r="F1850" s="48" t="str">
        <f>"BRADEN RIVER HIGH SCHOOL"</f>
        <v>BRADEN RIVER HIGH SCHOOL</v>
      </c>
      <c r="G1850" s="47"/>
      <c r="H1850" s="47"/>
      <c r="I1850" s="40">
        <v>778</v>
      </c>
      <c r="J1850" s="40">
        <v>2082</v>
      </c>
      <c r="K1850" s="20"/>
      <c r="L1850" s="21"/>
      <c r="M1850" s="110">
        <f>IF(L1850="",I1850,(MIN(J1850,(L1850*1.6*J1850))))</f>
        <v>778</v>
      </c>
      <c r="N1850" s="111">
        <f>IF(M1850=0,0,(M1850/J1850))</f>
        <v>0.37367915465898177</v>
      </c>
    </row>
    <row r="1851" spans="2:14">
      <c r="B1851" s="73">
        <v>127848</v>
      </c>
      <c r="C1851" s="23" t="str">
        <f>"MANATEE"</f>
        <v>MANATEE</v>
      </c>
      <c r="D1851" s="123">
        <f>SUMIF(B$3:B$3844,B1851,M$3:M$3844)/(SUMIF(B$3:B$3844,B1851,J$3:J$3844))</f>
        <v>0.64425696034711344</v>
      </c>
      <c r="E1851" s="23">
        <v>38392</v>
      </c>
      <c r="F1851" s="46" t="str">
        <f>"BRADEN RIVER MIDDLE SCHOOL"</f>
        <v>BRADEN RIVER MIDDLE SCHOOL</v>
      </c>
      <c r="G1851" s="23"/>
      <c r="H1851" s="23"/>
      <c r="I1851" s="41">
        <v>522</v>
      </c>
      <c r="J1851" s="41">
        <v>995</v>
      </c>
      <c r="K1851" s="20"/>
      <c r="L1851" s="21"/>
      <c r="M1851" s="110">
        <f>IF(L1851="",I1851,(MIN(J1851,(L1851*1.6*J1851))))</f>
        <v>522</v>
      </c>
      <c r="N1851" s="111">
        <f>IF(M1851=0,0,(M1851/J1851))</f>
        <v>0.52462311557788943</v>
      </c>
    </row>
    <row r="1852" spans="2:14">
      <c r="B1852" s="72">
        <v>127848</v>
      </c>
      <c r="C1852" s="47" t="str">
        <f>"MANATEE"</f>
        <v>MANATEE</v>
      </c>
      <c r="D1852" s="123">
        <f>SUMIF(B$3:B$3844,B1852,M$3:M$3844)/(SUMIF(B$3:B$3844,B1852,J$3:J$3844))</f>
        <v>0.64425696034711344</v>
      </c>
      <c r="E1852" s="47">
        <v>16042436</v>
      </c>
      <c r="F1852" s="48" t="str">
        <f>"BUFFALO CREEK MIDDLE SCHOOL"</f>
        <v>BUFFALO CREEK MIDDLE SCHOOL</v>
      </c>
      <c r="G1852" s="47"/>
      <c r="H1852" s="47"/>
      <c r="I1852" s="40">
        <v>572</v>
      </c>
      <c r="J1852" s="40">
        <v>1033</v>
      </c>
      <c r="K1852" s="20"/>
      <c r="L1852" s="21"/>
      <c r="M1852" s="110">
        <f>IF(L1852="",I1852,(MIN(J1852,(L1852*1.6*J1852))))</f>
        <v>572</v>
      </c>
      <c r="N1852" s="111">
        <f>IF(M1852=0,0,(M1852/J1852))</f>
        <v>0.55372700871248792</v>
      </c>
    </row>
    <row r="1853" spans="2:14">
      <c r="B1853" s="73">
        <v>127848</v>
      </c>
      <c r="C1853" s="23" t="str">
        <f>"MANATEE"</f>
        <v>MANATEE</v>
      </c>
      <c r="D1853" s="123">
        <f>SUMIF(B$3:B$3844,B1853,M$3:M$3844)/(SUMIF(B$3:B$3844,B1853,J$3:J$3844))</f>
        <v>0.64425696034711344</v>
      </c>
      <c r="E1853" s="23">
        <v>38391</v>
      </c>
      <c r="F1853" s="46" t="str">
        <f>"CARLOS E. HAILE MIDDLE SCHOOL"</f>
        <v>CARLOS E. HAILE MIDDLE SCHOOL</v>
      </c>
      <c r="G1853" s="23"/>
      <c r="H1853" s="23"/>
      <c r="I1853" s="41">
        <v>379</v>
      </c>
      <c r="J1853" s="41">
        <v>1078</v>
      </c>
      <c r="K1853" s="20"/>
      <c r="L1853" s="21"/>
      <c r="M1853" s="110">
        <f>IF(L1853="",I1853,(MIN(J1853,(L1853*1.6*J1853))))</f>
        <v>379</v>
      </c>
      <c r="N1853" s="111">
        <f>IF(M1853=0,0,(M1853/J1853))</f>
        <v>0.35157699443413731</v>
      </c>
    </row>
    <row r="1854" spans="2:14">
      <c r="B1854" s="72">
        <v>127848</v>
      </c>
      <c r="C1854" s="47" t="str">
        <f>"MANATEE"</f>
        <v>MANATEE</v>
      </c>
      <c r="D1854" s="123">
        <f>SUMIF(B$3:B$3844,B1854,M$3:M$3844)/(SUMIF(B$3:B$3844,B1854,J$3:J$3844))</f>
        <v>0.64425696034711344</v>
      </c>
      <c r="E1854" s="47">
        <v>38113</v>
      </c>
      <c r="F1854" s="48" t="str">
        <f>"DUETTE ELEMENTARY SCHOOL"</f>
        <v>DUETTE ELEMENTARY SCHOOL</v>
      </c>
      <c r="G1854" s="47"/>
      <c r="H1854" s="47"/>
      <c r="I1854" s="40"/>
      <c r="J1854" s="40">
        <v>11</v>
      </c>
      <c r="K1854" s="20"/>
      <c r="L1854" s="21"/>
      <c r="M1854" s="110">
        <f>IF(L1854="",I1854,(MIN(J1854,(L1854*1.6*J1854))))</f>
        <v>0</v>
      </c>
      <c r="N1854" s="111">
        <f>IF(M1854=0,0,(M1854/J1854))</f>
        <v>0</v>
      </c>
    </row>
    <row r="1855" spans="2:14">
      <c r="B1855" s="73">
        <v>127848</v>
      </c>
      <c r="C1855" s="23" t="str">
        <f>"MANATEE"</f>
        <v>MANATEE</v>
      </c>
      <c r="D1855" s="123">
        <f>SUMIF(B$3:B$3844,B1855,M$3:M$3844)/(SUMIF(B$3:B$3844,B1855,J$3:J$3844))</f>
        <v>0.64425696034711344</v>
      </c>
      <c r="E1855" s="23">
        <v>211829</v>
      </c>
      <c r="F1855" s="46" t="s">
        <v>2140</v>
      </c>
      <c r="G1855" s="23"/>
      <c r="H1855" s="23"/>
      <c r="I1855" s="41"/>
      <c r="J1855" s="41">
        <v>979</v>
      </c>
      <c r="K1855" s="20">
        <v>2015</v>
      </c>
      <c r="L1855" s="21">
        <v>0.68519999999999992</v>
      </c>
      <c r="M1855" s="110">
        <f>IF(L1855="",I1855,(MIN(J1855,(L1855*1.6*J1855))))</f>
        <v>979</v>
      </c>
      <c r="N1855" s="111">
        <f>IF(M1855=0,0,(M1855/J1855))</f>
        <v>1</v>
      </c>
    </row>
    <row r="1856" spans="2:14">
      <c r="B1856" s="72">
        <v>127848</v>
      </c>
      <c r="C1856" s="47" t="str">
        <f>"MANATEE"</f>
        <v>MANATEE</v>
      </c>
      <c r="D1856" s="123">
        <f>SUMIF(B$3:B$3844,B1856,M$3:M$3844)/(SUMIF(B$3:B$3844,B1856,J$3:J$3844))</f>
        <v>0.64425696034711344</v>
      </c>
      <c r="E1856" s="47">
        <v>38495</v>
      </c>
      <c r="F1856" s="48" t="s">
        <v>2141</v>
      </c>
      <c r="G1856" s="47"/>
      <c r="H1856" s="47"/>
      <c r="I1856" s="40"/>
      <c r="J1856" s="40">
        <v>561</v>
      </c>
      <c r="K1856" s="20">
        <v>2015</v>
      </c>
      <c r="L1856" s="21">
        <v>0.68519999999999992</v>
      </c>
      <c r="M1856" s="110">
        <f>IF(L1856="",I1856,(MIN(J1856,(L1856*1.6*J1856))))</f>
        <v>561</v>
      </c>
      <c r="N1856" s="111">
        <f>IF(M1856=0,0,(M1856/J1856))</f>
        <v>1</v>
      </c>
    </row>
    <row r="1857" spans="2:14">
      <c r="B1857" s="73">
        <v>127848</v>
      </c>
      <c r="C1857" s="23" t="str">
        <f>"MANATEE"</f>
        <v>MANATEE</v>
      </c>
      <c r="D1857" s="123">
        <f>SUMIF(B$3:B$3844,B1857,M$3:M$3844)/(SUMIF(B$3:B$3844,B1857,J$3:J$3844))</f>
        <v>0.64425696034711344</v>
      </c>
      <c r="E1857" s="23">
        <v>38420</v>
      </c>
      <c r="F1857" s="46" t="s">
        <v>2142</v>
      </c>
      <c r="G1857" s="23"/>
      <c r="H1857" s="23"/>
      <c r="I1857" s="41">
        <v>309</v>
      </c>
      <c r="J1857" s="41">
        <v>534</v>
      </c>
      <c r="K1857" s="20"/>
      <c r="L1857" s="21"/>
      <c r="M1857" s="110">
        <f>IF(L1857="",I1857,(MIN(J1857,(L1857*1.6*J1857))))</f>
        <v>309</v>
      </c>
      <c r="N1857" s="111">
        <f>IF(M1857=0,0,(M1857/J1857))</f>
        <v>0.5786516853932584</v>
      </c>
    </row>
    <row r="1858" spans="2:14">
      <c r="B1858" s="72">
        <v>127848</v>
      </c>
      <c r="C1858" s="47" t="str">
        <f>"MANATEE"</f>
        <v>MANATEE</v>
      </c>
      <c r="D1858" s="123">
        <f>SUMIF(B$3:B$3844,B1858,M$3:M$3844)/(SUMIF(B$3:B$3844,B1858,J$3:J$3844))</f>
        <v>0.64425696034711344</v>
      </c>
      <c r="E1858" s="47">
        <v>231901</v>
      </c>
      <c r="F1858" s="48" t="str">
        <f>"FREEDOM ELEMENTARY SCHOOL"</f>
        <v>FREEDOM ELEMENTARY SCHOOL</v>
      </c>
      <c r="G1858" s="47"/>
      <c r="H1858" s="47"/>
      <c r="I1858" s="40">
        <v>386</v>
      </c>
      <c r="J1858" s="40">
        <v>791</v>
      </c>
      <c r="K1858" s="20"/>
      <c r="L1858" s="21"/>
      <c r="M1858" s="110">
        <f>IF(L1858="",I1858,(MIN(J1858,(L1858*1.6*J1858))))</f>
        <v>386</v>
      </c>
      <c r="N1858" s="111">
        <f>IF(M1858=0,0,(M1858/J1858))</f>
        <v>0.48798988621997469</v>
      </c>
    </row>
    <row r="1859" spans="2:14">
      <c r="B1859" s="73">
        <v>127848</v>
      </c>
      <c r="C1859" s="23" t="str">
        <f>"MANATEE"</f>
        <v>MANATEE</v>
      </c>
      <c r="D1859" s="123">
        <f>SUMIF(B$3:B$3844,B1859,M$3:M$3844)/(SUMIF(B$3:B$3844,B1859,J$3:J$3844))</f>
        <v>0.64425696034711344</v>
      </c>
      <c r="E1859" s="23">
        <v>16052169</v>
      </c>
      <c r="F1859" s="46" t="str">
        <f>"G.D. ROGERS GARDEN ELEMENTARY"</f>
        <v>G.D. ROGERS GARDEN ELEMENTARY</v>
      </c>
      <c r="G1859" s="23"/>
      <c r="H1859" s="23"/>
      <c r="I1859" s="41"/>
      <c r="J1859" s="41">
        <v>328</v>
      </c>
      <c r="K1859" s="20">
        <v>2015</v>
      </c>
      <c r="L1859" s="21">
        <v>0.68519999999999992</v>
      </c>
      <c r="M1859" s="110">
        <f>IF(L1859="",I1859,(MIN(J1859,(L1859*1.6*J1859))))</f>
        <v>328</v>
      </c>
      <c r="N1859" s="111">
        <f>IF(M1859=0,0,(M1859/J1859))</f>
        <v>1</v>
      </c>
    </row>
    <row r="1860" spans="2:14">
      <c r="B1860" s="72">
        <v>127848</v>
      </c>
      <c r="C1860" s="47" t="str">
        <f>"MANATEE"</f>
        <v>MANATEE</v>
      </c>
      <c r="D1860" s="123">
        <f>SUMIF(B$3:B$3844,B1860,M$3:M$3844)/(SUMIF(B$3:B$3844,B1860,J$3:J$3844))</f>
        <v>0.64425696034711344</v>
      </c>
      <c r="E1860" s="47">
        <v>38394</v>
      </c>
      <c r="F1860" s="48" t="str">
        <f>"GENE WITT ELEMENTARY SCHOOL"</f>
        <v>GENE WITT ELEMENTARY SCHOOL</v>
      </c>
      <c r="G1860" s="47"/>
      <c r="H1860" s="47"/>
      <c r="I1860" s="40">
        <v>203</v>
      </c>
      <c r="J1860" s="40">
        <v>721</v>
      </c>
      <c r="K1860" s="20"/>
      <c r="L1860" s="21"/>
      <c r="M1860" s="110">
        <f>IF(L1860="",I1860,(MIN(J1860,(L1860*1.6*J1860))))</f>
        <v>203</v>
      </c>
      <c r="N1860" s="111">
        <f>IF(M1860=0,0,(M1860/J1860))</f>
        <v>0.28155339805825241</v>
      </c>
    </row>
    <row r="1861" spans="2:14">
      <c r="B1861" s="73">
        <v>127848</v>
      </c>
      <c r="C1861" s="23" t="str">
        <f>"MANATEE"</f>
        <v>MANATEE</v>
      </c>
      <c r="D1861" s="123">
        <f>SUMIF(B$3:B$3844,B1861,M$3:M$3844)/(SUMIF(B$3:B$3844,B1861,J$3:J$3844))</f>
        <v>0.64425696034711344</v>
      </c>
      <c r="E1861" s="23">
        <v>231900</v>
      </c>
      <c r="F1861" s="46" t="s">
        <v>2143</v>
      </c>
      <c r="G1861" s="23"/>
      <c r="H1861" s="23"/>
      <c r="I1861" s="41">
        <v>175</v>
      </c>
      <c r="J1861" s="41">
        <v>771</v>
      </c>
      <c r="K1861" s="20"/>
      <c r="L1861" s="21"/>
      <c r="M1861" s="110">
        <f>IF(L1861="",I1861,(MIN(J1861,(L1861*1.6*J1861))))</f>
        <v>175</v>
      </c>
      <c r="N1861" s="111">
        <f>IF(M1861=0,0,(M1861/J1861))</f>
        <v>0.22697795071335927</v>
      </c>
    </row>
    <row r="1862" spans="2:14">
      <c r="B1862" s="72">
        <v>127848</v>
      </c>
      <c r="C1862" s="47" t="str">
        <f>"MANATEE"</f>
        <v>MANATEE</v>
      </c>
      <c r="D1862" s="123">
        <f>SUMIF(B$3:B$3844,B1862,M$3:M$3844)/(SUMIF(B$3:B$3844,B1862,J$3:J$3844))</f>
        <v>0.64425696034711344</v>
      </c>
      <c r="E1862" s="47">
        <v>38426</v>
      </c>
      <c r="F1862" s="48" t="str">
        <f>"H. S. MOODY ELEMENTARY SCHOOL"</f>
        <v>H. S. MOODY ELEMENTARY SCHOOL</v>
      </c>
      <c r="G1862" s="47"/>
      <c r="H1862" s="47"/>
      <c r="I1862" s="40"/>
      <c r="J1862" s="40">
        <v>640</v>
      </c>
      <c r="K1862" s="20">
        <v>2015</v>
      </c>
      <c r="L1862" s="21">
        <v>0.68519999999999992</v>
      </c>
      <c r="M1862" s="110">
        <f>IF(L1862="",I1862,(MIN(J1862,(L1862*1.6*J1862))))</f>
        <v>640</v>
      </c>
      <c r="N1862" s="111">
        <f>IF(M1862=0,0,(M1862/J1862))</f>
        <v>1</v>
      </c>
    </row>
    <row r="1863" spans="2:14">
      <c r="B1863" s="73">
        <v>127848</v>
      </c>
      <c r="C1863" s="23" t="str">
        <f>"MANATEE"</f>
        <v>MANATEE</v>
      </c>
      <c r="D1863" s="123">
        <f>SUMIF(B$3:B$3844,B1863,M$3:M$3844)/(SUMIF(B$3:B$3844,B1863,J$3:J$3844))</f>
        <v>0.64425696034711344</v>
      </c>
      <c r="E1863" s="23">
        <v>222027</v>
      </c>
      <c r="F1863" s="46" t="str">
        <f>"HORIZONS ACADEMY"</f>
        <v>HORIZONS ACADEMY</v>
      </c>
      <c r="G1863" s="23"/>
      <c r="H1863" s="23"/>
      <c r="I1863" s="41"/>
      <c r="J1863" s="41">
        <v>525</v>
      </c>
      <c r="K1863" s="20">
        <v>2015</v>
      </c>
      <c r="L1863" s="21">
        <v>0.68519999999999992</v>
      </c>
      <c r="M1863" s="110">
        <f>IF(L1863="",I1863,(MIN(J1863,(L1863*1.6*J1863))))</f>
        <v>525</v>
      </c>
      <c r="N1863" s="111">
        <f>IF(M1863=0,0,(M1863/J1863))</f>
        <v>1</v>
      </c>
    </row>
    <row r="1864" spans="2:14">
      <c r="B1864" s="72">
        <v>127848</v>
      </c>
      <c r="C1864" s="47" t="str">
        <f>"MANATEE"</f>
        <v>MANATEE</v>
      </c>
      <c r="D1864" s="123">
        <f>SUMIF(B$3:B$3844,B1864,M$3:M$3844)/(SUMIF(B$3:B$3844,B1864,J$3:J$3844))</f>
        <v>0.64425696034711344</v>
      </c>
      <c r="E1864" s="47">
        <v>228328</v>
      </c>
      <c r="F1864" s="48" t="str">
        <f>"HORIZONS ACADEMY"</f>
        <v>HORIZONS ACADEMY</v>
      </c>
      <c r="G1864" s="47"/>
      <c r="H1864" s="47"/>
      <c r="I1864" s="40"/>
      <c r="J1864" s="40">
        <v>0</v>
      </c>
      <c r="K1864" s="20"/>
      <c r="L1864" s="21"/>
      <c r="M1864" s="110">
        <f>IF(L1864="",I1864,(MIN(J1864,(L1864*1.6*J1864))))</f>
        <v>0</v>
      </c>
      <c r="N1864" s="111">
        <f>IF(M1864=0,0,(M1864/J1864))</f>
        <v>0</v>
      </c>
    </row>
    <row r="1865" spans="2:14">
      <c r="B1865" s="73">
        <v>127848</v>
      </c>
      <c r="C1865" s="23" t="str">
        <f>"MANATEE"</f>
        <v>MANATEE</v>
      </c>
      <c r="D1865" s="123">
        <f>SUMIF(B$3:B$3844,B1865,M$3:M$3844)/(SUMIF(B$3:B$3844,B1865,J$3:J$3844))</f>
        <v>0.64425696034711344</v>
      </c>
      <c r="E1865" s="23">
        <v>38431</v>
      </c>
      <c r="F1865" s="46" t="s">
        <v>2144</v>
      </c>
      <c r="G1865" s="23"/>
      <c r="H1865" s="23"/>
      <c r="I1865" s="41">
        <v>171</v>
      </c>
      <c r="J1865" s="41">
        <v>410</v>
      </c>
      <c r="K1865" s="20"/>
      <c r="L1865" s="21"/>
      <c r="M1865" s="110">
        <f>IF(L1865="",I1865,(MIN(J1865,(L1865*1.6*J1865))))</f>
        <v>171</v>
      </c>
      <c r="N1865" s="111">
        <f>IF(M1865=0,0,(M1865/J1865))</f>
        <v>0.4170731707317073</v>
      </c>
    </row>
    <row r="1866" spans="2:14">
      <c r="B1866" s="72">
        <v>127848</v>
      </c>
      <c r="C1866" s="47" t="str">
        <f>"MANATEE"</f>
        <v>MANATEE</v>
      </c>
      <c r="D1866" s="123">
        <f>SUMIF(B$3:B$3844,B1866,M$3:M$3844)/(SUMIF(B$3:B$3844,B1866,J$3:J$3844))</f>
        <v>0.64425696034711344</v>
      </c>
      <c r="E1866" s="47">
        <v>38438</v>
      </c>
      <c r="F1866" s="48" t="s">
        <v>2145</v>
      </c>
      <c r="G1866" s="47"/>
      <c r="H1866" s="47"/>
      <c r="I1866" s="40"/>
      <c r="J1866" s="40">
        <v>568</v>
      </c>
      <c r="K1866" s="20">
        <v>2015</v>
      </c>
      <c r="L1866" s="21">
        <v>0.68519999999999992</v>
      </c>
      <c r="M1866" s="110">
        <f>IF(L1866="",I1866,(MIN(J1866,(L1866*1.6*J1866))))</f>
        <v>568</v>
      </c>
      <c r="N1866" s="111">
        <f>IF(M1866=0,0,(M1866/J1866))</f>
        <v>1</v>
      </c>
    </row>
    <row r="1867" spans="2:14">
      <c r="B1867" s="73">
        <v>127848</v>
      </c>
      <c r="C1867" s="23" t="str">
        <f>"MANATEE"</f>
        <v>MANATEE</v>
      </c>
      <c r="D1867" s="123">
        <f>SUMIF(B$3:B$3844,B1867,M$3:M$3844)/(SUMIF(B$3:B$3844,B1867,J$3:J$3844))</f>
        <v>0.64425696034711344</v>
      </c>
      <c r="E1867" s="23">
        <v>38402</v>
      </c>
      <c r="F1867" s="46" t="s">
        <v>2146</v>
      </c>
      <c r="G1867" s="23"/>
      <c r="H1867" s="23"/>
      <c r="I1867" s="41">
        <v>526</v>
      </c>
      <c r="J1867" s="41">
        <v>814</v>
      </c>
      <c r="K1867" s="20"/>
      <c r="L1867" s="21"/>
      <c r="M1867" s="110">
        <f>IF(L1867="",I1867,(MIN(J1867,(L1867*1.6*J1867))))</f>
        <v>526</v>
      </c>
      <c r="N1867" s="111">
        <f>IF(M1867=0,0,(M1867/J1867))</f>
        <v>0.64619164619164615</v>
      </c>
    </row>
    <row r="1868" spans="2:14">
      <c r="B1868" s="72">
        <v>127848</v>
      </c>
      <c r="C1868" s="47" t="str">
        <f>"MANATEE"</f>
        <v>MANATEE</v>
      </c>
      <c r="D1868" s="123">
        <f>SUMIF(B$3:B$3844,B1868,M$3:M$3844)/(SUMIF(B$3:B$3844,B1868,J$3:J$3844))</f>
        <v>0.64425696034711344</v>
      </c>
      <c r="E1868" s="47">
        <v>213241</v>
      </c>
      <c r="F1868" s="48" t="str">
        <f>"JUVENILE DETENTION CENTER"</f>
        <v>JUVENILE DETENTION CENTER</v>
      </c>
      <c r="G1868" s="47"/>
      <c r="H1868" s="47"/>
      <c r="I1868" s="40">
        <v>8</v>
      </c>
      <c r="J1868" s="40">
        <v>38</v>
      </c>
      <c r="K1868" s="20"/>
      <c r="L1868" s="21"/>
      <c r="M1868" s="110">
        <f>IF(L1868="",I1868,(MIN(J1868,(L1868*1.6*J1868))))</f>
        <v>8</v>
      </c>
      <c r="N1868" s="111">
        <f>IF(M1868=0,0,(M1868/J1868))</f>
        <v>0.21052631578947367</v>
      </c>
    </row>
    <row r="1869" spans="2:14">
      <c r="B1869" s="73">
        <v>127848</v>
      </c>
      <c r="C1869" s="23" t="str">
        <f>"MANATEE"</f>
        <v>MANATEE</v>
      </c>
      <c r="D1869" s="123">
        <f>SUMIF(B$3:B$3844,B1869,M$3:M$3844)/(SUMIF(B$3:B$3844,B1869,J$3:J$3844))</f>
        <v>0.64425696034711344</v>
      </c>
      <c r="E1869" s="23">
        <v>211831</v>
      </c>
      <c r="F1869" s="46" t="str">
        <f>"KINNAN ELEMENTARY SCHOOL"</f>
        <v>KINNAN ELEMENTARY SCHOOL</v>
      </c>
      <c r="G1869" s="23"/>
      <c r="H1869" s="23"/>
      <c r="I1869" s="41">
        <v>384</v>
      </c>
      <c r="J1869" s="41">
        <v>584</v>
      </c>
      <c r="K1869" s="20"/>
      <c r="L1869" s="21"/>
      <c r="M1869" s="110">
        <f>IF(L1869="",I1869,(MIN(J1869,(L1869*1.6*J1869))))</f>
        <v>384</v>
      </c>
      <c r="N1869" s="111">
        <f>IF(M1869=0,0,(M1869/J1869))</f>
        <v>0.65753424657534243</v>
      </c>
    </row>
    <row r="1870" spans="2:14">
      <c r="B1870" s="72">
        <v>127848</v>
      </c>
      <c r="C1870" s="47" t="str">
        <f>"MANATEE"</f>
        <v>MANATEE</v>
      </c>
      <c r="D1870" s="123">
        <f>SUMIF(B$3:B$3844,B1870,M$3:M$3844)/(SUMIF(B$3:B$3844,B1870,J$3:J$3844))</f>
        <v>0.64425696034711344</v>
      </c>
      <c r="E1870" s="47">
        <v>195657</v>
      </c>
      <c r="F1870" s="48" t="str">
        <f>"LAKEWOOD RANCH HIGH SCHOOL"</f>
        <v>LAKEWOOD RANCH HIGH SCHOOL</v>
      </c>
      <c r="G1870" s="47"/>
      <c r="H1870" s="47"/>
      <c r="I1870" s="40">
        <v>592</v>
      </c>
      <c r="J1870" s="40">
        <v>2340</v>
      </c>
      <c r="K1870" s="20"/>
      <c r="L1870" s="21"/>
      <c r="M1870" s="110">
        <f>IF(L1870="",I1870,(MIN(J1870,(L1870*1.6*J1870))))</f>
        <v>592</v>
      </c>
      <c r="N1870" s="111">
        <f>IF(M1870=0,0,(M1870/J1870))</f>
        <v>0.25299145299145298</v>
      </c>
    </row>
    <row r="1871" spans="2:14">
      <c r="B1871" s="73">
        <v>127848</v>
      </c>
      <c r="C1871" s="23" t="str">
        <f>"MANATEE"</f>
        <v>MANATEE</v>
      </c>
      <c r="D1871" s="123">
        <f>SUMIF(B$3:B$3844,B1871,M$3:M$3844)/(SUMIF(B$3:B$3844,B1871,J$3:J$3844))</f>
        <v>0.64425696034711344</v>
      </c>
      <c r="E1871" s="23">
        <v>38440</v>
      </c>
      <c r="F1871" s="46" t="str">
        <f>"LINCOLN MIDDLE SCHOOL"</f>
        <v>LINCOLN MIDDLE SCHOOL</v>
      </c>
      <c r="G1871" s="23"/>
      <c r="H1871" s="23"/>
      <c r="I1871" s="41"/>
      <c r="J1871" s="41">
        <v>537</v>
      </c>
      <c r="K1871" s="20">
        <v>2015</v>
      </c>
      <c r="L1871" s="21">
        <v>0.68519999999999992</v>
      </c>
      <c r="M1871" s="110">
        <f>IF(L1871="",I1871,(MIN(J1871,(L1871*1.6*J1871))))</f>
        <v>537</v>
      </c>
      <c r="N1871" s="111">
        <f>IF(M1871=0,0,(M1871/J1871))</f>
        <v>1</v>
      </c>
    </row>
    <row r="1872" spans="2:14">
      <c r="B1872" s="72">
        <v>127848</v>
      </c>
      <c r="C1872" s="47" t="str">
        <f>"MANATEE"</f>
        <v>MANATEE</v>
      </c>
      <c r="D1872" s="123">
        <f>SUMIF(B$3:B$3844,B1872,M$3:M$3844)/(SUMIF(B$3:B$3844,B1872,J$3:J$3844))</f>
        <v>0.64425696034711344</v>
      </c>
      <c r="E1872" s="47">
        <v>38421</v>
      </c>
      <c r="F1872" s="48" t="s">
        <v>2147</v>
      </c>
      <c r="G1872" s="47"/>
      <c r="H1872" s="47"/>
      <c r="I1872" s="40">
        <v>312</v>
      </c>
      <c r="J1872" s="40">
        <v>492</v>
      </c>
      <c r="K1872" s="20"/>
      <c r="L1872" s="21"/>
      <c r="M1872" s="110">
        <f>IF(L1872="",I1872,(MIN(J1872,(L1872*1.6*J1872))))</f>
        <v>312</v>
      </c>
      <c r="N1872" s="111">
        <f>IF(M1872=0,0,(M1872/J1872))</f>
        <v>0.63414634146341464</v>
      </c>
    </row>
    <row r="1873" spans="2:14">
      <c r="B1873" s="73">
        <v>127848</v>
      </c>
      <c r="C1873" s="23" t="str">
        <f>"MANATEE"</f>
        <v>MANATEE</v>
      </c>
      <c r="D1873" s="123">
        <f>SUMIF(B$3:B$3844,B1873,M$3:M$3844)/(SUMIF(B$3:B$3844,B1873,J$3:J$3844))</f>
        <v>0.64425696034711344</v>
      </c>
      <c r="E1873" s="23">
        <v>127848</v>
      </c>
      <c r="F1873" s="46" t="str">
        <f>"MANATEE COUNTY SCHOOL DISTRICT"</f>
        <v>MANATEE COUNTY SCHOOL DISTRICT</v>
      </c>
      <c r="G1873" s="23"/>
      <c r="H1873" s="23"/>
      <c r="I1873" s="41"/>
      <c r="J1873" s="41">
        <v>0</v>
      </c>
      <c r="K1873" s="20"/>
      <c r="L1873" s="21"/>
      <c r="M1873" s="110">
        <f>IF(L1873="",I1873,(MIN(J1873,(L1873*1.6*J1873))))</f>
        <v>0</v>
      </c>
      <c r="N1873" s="111">
        <f>IF(M1873=0,0,(M1873/J1873))</f>
        <v>0</v>
      </c>
    </row>
    <row r="1874" spans="2:14">
      <c r="B1874" s="72">
        <v>127848</v>
      </c>
      <c r="C1874" s="47" t="str">
        <f>"MANATEE"</f>
        <v>MANATEE</v>
      </c>
      <c r="D1874" s="123">
        <f>SUMIF(B$3:B$3844,B1874,M$3:M$3844)/(SUMIF(B$3:B$3844,B1874,J$3:J$3844))</f>
        <v>0.64425696034711344</v>
      </c>
      <c r="E1874" s="47">
        <v>16062540</v>
      </c>
      <c r="F1874" s="48" t="str">
        <f>"MANATEE COUNTY SD ADMIN CENTER"</f>
        <v>MANATEE COUNTY SD ADMIN CENTER</v>
      </c>
      <c r="G1874" s="47"/>
      <c r="H1874" s="47"/>
      <c r="I1874" s="40"/>
      <c r="J1874" s="40">
        <v>0</v>
      </c>
      <c r="K1874" s="20"/>
      <c r="L1874" s="21"/>
      <c r="M1874" s="110">
        <f>IF(L1874="",I1874,(MIN(J1874,(L1874*1.6*J1874))))</f>
        <v>0</v>
      </c>
      <c r="N1874" s="111">
        <f>IF(M1874=0,0,(M1874/J1874))</f>
        <v>0</v>
      </c>
    </row>
    <row r="1875" spans="2:14">
      <c r="B1875" s="73">
        <v>127848</v>
      </c>
      <c r="C1875" s="23" t="str">
        <f>"MANATEE"</f>
        <v>MANATEE</v>
      </c>
      <c r="D1875" s="123">
        <f>SUMIF(B$3:B$3844,B1875,M$3:M$3844)/(SUMIF(B$3:B$3844,B1875,J$3:J$3844))</f>
        <v>0.64425696034711344</v>
      </c>
      <c r="E1875" s="23">
        <v>38415</v>
      </c>
      <c r="F1875" s="46" t="str">
        <f>"MANATEE ELEMENTARY SCHOOL"</f>
        <v>MANATEE ELEMENTARY SCHOOL</v>
      </c>
      <c r="G1875" s="23"/>
      <c r="H1875" s="23"/>
      <c r="I1875" s="41"/>
      <c r="J1875" s="41">
        <v>521</v>
      </c>
      <c r="K1875" s="20">
        <v>2015</v>
      </c>
      <c r="L1875" s="21">
        <v>0.68519999999999992</v>
      </c>
      <c r="M1875" s="110">
        <f>IF(L1875="",I1875,(MIN(J1875,(L1875*1.6*J1875))))</f>
        <v>521</v>
      </c>
      <c r="N1875" s="111">
        <f>IF(M1875=0,0,(M1875/J1875))</f>
        <v>1</v>
      </c>
    </row>
    <row r="1876" spans="2:14">
      <c r="B1876" s="72">
        <v>127848</v>
      </c>
      <c r="C1876" s="47" t="str">
        <f>"MANATEE"</f>
        <v>MANATEE</v>
      </c>
      <c r="D1876" s="123">
        <f>SUMIF(B$3:B$3844,B1876,M$3:M$3844)/(SUMIF(B$3:B$3844,B1876,J$3:J$3844))</f>
        <v>0.64425696034711344</v>
      </c>
      <c r="E1876" s="47">
        <v>38422</v>
      </c>
      <c r="F1876" s="48" t="str">
        <f>"MANATEE HIGH SCHOOL"</f>
        <v>MANATEE HIGH SCHOOL</v>
      </c>
      <c r="G1876" s="47"/>
      <c r="H1876" s="47"/>
      <c r="I1876" s="40">
        <v>1234</v>
      </c>
      <c r="J1876" s="40">
        <v>2349</v>
      </c>
      <c r="K1876" s="20"/>
      <c r="L1876" s="21"/>
      <c r="M1876" s="110">
        <f>IF(L1876="",I1876,(MIN(J1876,(L1876*1.6*J1876))))</f>
        <v>1234</v>
      </c>
      <c r="N1876" s="111">
        <f>IF(M1876=0,0,(M1876/J1876))</f>
        <v>0.52532992762877817</v>
      </c>
    </row>
    <row r="1877" spans="2:14">
      <c r="B1877" s="73">
        <v>127848</v>
      </c>
      <c r="C1877" s="23" t="str">
        <f>"MANATEE"</f>
        <v>MANATEE</v>
      </c>
      <c r="D1877" s="123">
        <f>SUMIF(B$3:B$3844,B1877,M$3:M$3844)/(SUMIF(B$3:B$3844,B1877,J$3:J$3844))</f>
        <v>0.64425696034711344</v>
      </c>
      <c r="E1877" s="23">
        <v>16068457</v>
      </c>
      <c r="F1877" s="46" t="str">
        <f>"MANATEE TECHNICAL INSTITUTE"</f>
        <v>MANATEE TECHNICAL INSTITUTE</v>
      </c>
      <c r="G1877" s="23"/>
      <c r="H1877" s="23"/>
      <c r="I1877" s="41"/>
      <c r="J1877" s="41">
        <v>0</v>
      </c>
      <c r="K1877" s="20"/>
      <c r="L1877" s="21"/>
      <c r="M1877" s="110">
        <f>IF(L1877="",I1877,(MIN(J1877,(L1877*1.6*J1877))))</f>
        <v>0</v>
      </c>
      <c r="N1877" s="111">
        <f>IF(M1877=0,0,(M1877/J1877))</f>
        <v>0</v>
      </c>
    </row>
    <row r="1878" spans="2:14">
      <c r="B1878" s="72">
        <v>127848</v>
      </c>
      <c r="C1878" s="47" t="str">
        <f>"MANATEE"</f>
        <v>MANATEE</v>
      </c>
      <c r="D1878" s="123">
        <f>SUMIF(B$3:B$3844,B1878,M$3:M$3844)/(SUMIF(B$3:B$3844,B1878,J$3:J$3844))</f>
        <v>0.64425696034711344</v>
      </c>
      <c r="E1878" s="47">
        <v>38429</v>
      </c>
      <c r="F1878" s="48" t="str">
        <f>"MARTHA B. KING MIDDLE SCHOOL"</f>
        <v>MARTHA B. KING MIDDLE SCHOOL</v>
      </c>
      <c r="G1878" s="47"/>
      <c r="H1878" s="47"/>
      <c r="I1878" s="40">
        <v>727</v>
      </c>
      <c r="J1878" s="40">
        <v>1098</v>
      </c>
      <c r="K1878" s="20"/>
      <c r="L1878" s="21"/>
      <c r="M1878" s="110">
        <f>IF(L1878="",I1878,(MIN(J1878,(L1878*1.6*J1878))))</f>
        <v>727</v>
      </c>
      <c r="N1878" s="111">
        <f>IF(M1878=0,0,(M1878/J1878))</f>
        <v>0.66211293260473592</v>
      </c>
    </row>
    <row r="1879" spans="2:14">
      <c r="B1879" s="73">
        <v>127848</v>
      </c>
      <c r="C1879" s="23" t="str">
        <f>"MANATEE"</f>
        <v>MANATEE</v>
      </c>
      <c r="D1879" s="123">
        <f>SUMIF(B$3:B$3844,B1879,M$3:M$3844)/(SUMIF(B$3:B$3844,B1879,J$3:J$3844))</f>
        <v>0.64425696034711344</v>
      </c>
      <c r="E1879" s="23">
        <v>16030620</v>
      </c>
      <c r="F1879" s="46" t="s">
        <v>2148</v>
      </c>
      <c r="G1879" s="23"/>
      <c r="H1879" s="23"/>
      <c r="I1879" s="41"/>
      <c r="J1879" s="41">
        <v>0</v>
      </c>
      <c r="K1879" s="20"/>
      <c r="L1879" s="21"/>
      <c r="M1879" s="110">
        <f>IF(L1879="",I1879,(MIN(J1879,(L1879*1.6*J1879))))</f>
        <v>0</v>
      </c>
      <c r="N1879" s="111">
        <f>IF(M1879=0,0,(M1879/J1879))</f>
        <v>0</v>
      </c>
    </row>
    <row r="1880" spans="2:14" ht="30">
      <c r="B1880" s="72">
        <v>127848</v>
      </c>
      <c r="C1880" s="47" t="str">
        <f>"MANATEE"</f>
        <v>MANATEE</v>
      </c>
      <c r="D1880" s="123">
        <f>SUMIF(B$3:B$3844,B1880,M$3:M$3844)/(SUMIF(B$3:B$3844,B1880,J$3:J$3844))</f>
        <v>0.64425696034711344</v>
      </c>
      <c r="E1880" s="47">
        <v>16030617</v>
      </c>
      <c r="F1880" s="48" t="s">
        <v>2149</v>
      </c>
      <c r="G1880" s="47"/>
      <c r="H1880" s="47"/>
      <c r="I1880" s="40"/>
      <c r="J1880" s="40">
        <v>0</v>
      </c>
      <c r="K1880" s="20"/>
      <c r="L1880" s="21"/>
      <c r="M1880" s="110">
        <f>IF(L1880="",I1880,(MIN(J1880,(L1880*1.6*J1880))))</f>
        <v>0</v>
      </c>
      <c r="N1880" s="111">
        <f>IF(M1880=0,0,(M1880/J1880))</f>
        <v>0</v>
      </c>
    </row>
    <row r="1881" spans="2:14" ht="30">
      <c r="B1881" s="73">
        <v>127848</v>
      </c>
      <c r="C1881" s="23" t="str">
        <f>"MANATEE"</f>
        <v>MANATEE</v>
      </c>
      <c r="D1881" s="123">
        <f>SUMIF(B$3:B$3844,B1881,M$3:M$3844)/(SUMIF(B$3:B$3844,B1881,J$3:J$3844))</f>
        <v>0.64425696034711344</v>
      </c>
      <c r="E1881" s="23">
        <v>16030619</v>
      </c>
      <c r="F1881" s="46" t="s">
        <v>2150</v>
      </c>
      <c r="G1881" s="23"/>
      <c r="H1881" s="23"/>
      <c r="I1881" s="41"/>
      <c r="J1881" s="41">
        <v>0</v>
      </c>
      <c r="K1881" s="20"/>
      <c r="L1881" s="21"/>
      <c r="M1881" s="110">
        <f>IF(L1881="",I1881,(MIN(J1881,(L1881*1.6*J1881))))</f>
        <v>0</v>
      </c>
      <c r="N1881" s="111">
        <f>IF(M1881=0,0,(M1881/J1881))</f>
        <v>0</v>
      </c>
    </row>
    <row r="1882" spans="2:14">
      <c r="B1882" s="72">
        <v>127848</v>
      </c>
      <c r="C1882" s="47" t="str">
        <f>"MANATEE"</f>
        <v>MANATEE</v>
      </c>
      <c r="D1882" s="123">
        <f>SUMIF(B$3:B$3844,B1882,M$3:M$3844)/(SUMIF(B$3:B$3844,B1882,J$3:J$3844))</f>
        <v>0.64425696034711344</v>
      </c>
      <c r="E1882" s="47">
        <v>38496</v>
      </c>
      <c r="F1882" s="48" t="str">
        <f>"MYAKKA CITY ELEMENTARY SCHOOL"</f>
        <v>MYAKKA CITY ELEMENTARY SCHOOL</v>
      </c>
      <c r="G1882" s="47"/>
      <c r="H1882" s="47"/>
      <c r="I1882" s="40">
        <v>181</v>
      </c>
      <c r="J1882" s="40">
        <v>252</v>
      </c>
      <c r="K1882" s="20"/>
      <c r="L1882" s="21"/>
      <c r="M1882" s="110">
        <f>IF(L1882="",I1882,(MIN(J1882,(L1882*1.6*J1882))))</f>
        <v>181</v>
      </c>
      <c r="N1882" s="111">
        <f>IF(M1882=0,0,(M1882/J1882))</f>
        <v>0.71825396825396826</v>
      </c>
    </row>
    <row r="1883" spans="2:14">
      <c r="B1883" s="73">
        <v>127848</v>
      </c>
      <c r="C1883" s="23" t="str">
        <f>"MANATEE"</f>
        <v>MANATEE</v>
      </c>
      <c r="D1883" s="123">
        <f>SUMIF(B$3:B$3844,B1883,M$3:M$3844)/(SUMIF(B$3:B$3844,B1883,J$3:J$3844))</f>
        <v>0.64425696034711344</v>
      </c>
      <c r="E1883" s="23">
        <v>38396</v>
      </c>
      <c r="F1883" s="46" t="str">
        <f>"ONECO ELEMENTARY SCHOOL"</f>
        <v>ONECO ELEMENTARY SCHOOL</v>
      </c>
      <c r="G1883" s="23"/>
      <c r="H1883" s="23"/>
      <c r="I1883" s="41"/>
      <c r="J1883" s="41">
        <v>574</v>
      </c>
      <c r="K1883" s="20">
        <v>2015</v>
      </c>
      <c r="L1883" s="21">
        <v>0.68519999999999992</v>
      </c>
      <c r="M1883" s="110">
        <f>IF(L1883="",I1883,(MIN(J1883,(L1883*1.6*J1883))))</f>
        <v>574</v>
      </c>
      <c r="N1883" s="111">
        <f>IF(M1883=0,0,(M1883/J1883))</f>
        <v>1</v>
      </c>
    </row>
    <row r="1884" spans="2:14">
      <c r="B1884" s="72">
        <v>127848</v>
      </c>
      <c r="C1884" s="47" t="str">
        <f>"MANATEE"</f>
        <v>MANATEE</v>
      </c>
      <c r="D1884" s="123">
        <f>SUMIF(B$3:B$3844,B1884,M$3:M$3844)/(SUMIF(B$3:B$3844,B1884,J$3:J$3844))</f>
        <v>0.64425696034711344</v>
      </c>
      <c r="E1884" s="47">
        <v>38411</v>
      </c>
      <c r="F1884" s="48" t="s">
        <v>2151</v>
      </c>
      <c r="G1884" s="47"/>
      <c r="H1884" s="47"/>
      <c r="I1884" s="40"/>
      <c r="J1884" s="40">
        <v>721</v>
      </c>
      <c r="K1884" s="20">
        <v>2015</v>
      </c>
      <c r="L1884" s="21">
        <v>0.68519999999999992</v>
      </c>
      <c r="M1884" s="110">
        <f>IF(L1884="",I1884,(MIN(J1884,(L1884*1.6*J1884))))</f>
        <v>721</v>
      </c>
      <c r="N1884" s="111">
        <f>IF(M1884=0,0,(M1884/J1884))</f>
        <v>1</v>
      </c>
    </row>
    <row r="1885" spans="2:14">
      <c r="B1885" s="73">
        <v>127848</v>
      </c>
      <c r="C1885" s="23" t="str">
        <f>"MANATEE"</f>
        <v>MANATEE</v>
      </c>
      <c r="D1885" s="123">
        <f>SUMIF(B$3:B$3844,B1885,M$3:M$3844)/(SUMIF(B$3:B$3844,B1885,J$3:J$3844))</f>
        <v>0.64425696034711344</v>
      </c>
      <c r="E1885" s="23">
        <v>38443</v>
      </c>
      <c r="F1885" s="46" t="str">
        <f>"PALM VIEW ELEMENTARY SCHOOL"</f>
        <v>PALM VIEW ELEMENTARY SCHOOL</v>
      </c>
      <c r="G1885" s="23"/>
      <c r="H1885" s="23"/>
      <c r="I1885" s="41"/>
      <c r="J1885" s="41">
        <v>354</v>
      </c>
      <c r="K1885" s="20">
        <v>2015</v>
      </c>
      <c r="L1885" s="21">
        <v>0.68519999999999992</v>
      </c>
      <c r="M1885" s="110">
        <f>IF(L1885="",I1885,(MIN(J1885,(L1885*1.6*J1885))))</f>
        <v>354</v>
      </c>
      <c r="N1885" s="111">
        <f>IF(M1885=0,0,(M1885/J1885))</f>
        <v>1</v>
      </c>
    </row>
    <row r="1886" spans="2:14">
      <c r="B1886" s="72">
        <v>127848</v>
      </c>
      <c r="C1886" s="47" t="str">
        <f>"MANATEE"</f>
        <v>MANATEE</v>
      </c>
      <c r="D1886" s="123">
        <f>SUMIF(B$3:B$3844,B1886,M$3:M$3844)/(SUMIF(B$3:B$3844,B1886,J$3:J$3844))</f>
        <v>0.64425696034711344</v>
      </c>
      <c r="E1886" s="47">
        <v>38423</v>
      </c>
      <c r="F1886" s="48" t="str">
        <f>"PALMA SOLA ELEMENTARY SCHOOL"</f>
        <v>PALMA SOLA ELEMENTARY SCHOOL</v>
      </c>
      <c r="G1886" s="47"/>
      <c r="H1886" s="47"/>
      <c r="I1886" s="40">
        <v>342</v>
      </c>
      <c r="J1886" s="40">
        <v>591</v>
      </c>
      <c r="K1886" s="20"/>
      <c r="L1886" s="21"/>
      <c r="M1886" s="110">
        <f>IF(L1886="",I1886,(MIN(J1886,(L1886*1.6*J1886))))</f>
        <v>342</v>
      </c>
      <c r="N1886" s="111">
        <f>IF(M1886=0,0,(M1886/J1886))</f>
        <v>0.57868020304568524</v>
      </c>
    </row>
    <row r="1887" spans="2:14">
      <c r="B1887" s="73">
        <v>127848</v>
      </c>
      <c r="C1887" s="23" t="str">
        <f>"MANATEE"</f>
        <v>MANATEE</v>
      </c>
      <c r="D1887" s="123">
        <f>SUMIF(B$3:B$3844,B1887,M$3:M$3844)/(SUMIF(B$3:B$3844,B1887,J$3:J$3844))</f>
        <v>0.64425696034711344</v>
      </c>
      <c r="E1887" s="23">
        <v>38442</v>
      </c>
      <c r="F1887" s="46" t="str">
        <f>"PALMETTO ELEMENTARY SCHOOL"</f>
        <v>PALMETTO ELEMENTARY SCHOOL</v>
      </c>
      <c r="G1887" s="23"/>
      <c r="H1887" s="23"/>
      <c r="I1887" s="41"/>
      <c r="J1887" s="41">
        <v>693</v>
      </c>
      <c r="K1887" s="20">
        <v>2015</v>
      </c>
      <c r="L1887" s="21">
        <v>0.68519999999999992</v>
      </c>
      <c r="M1887" s="110">
        <f>IF(L1887="",I1887,(MIN(J1887,(L1887*1.6*J1887))))</f>
        <v>693</v>
      </c>
      <c r="N1887" s="111">
        <f>IF(M1887=0,0,(M1887/J1887))</f>
        <v>1</v>
      </c>
    </row>
    <row r="1888" spans="2:14">
      <c r="B1888" s="72">
        <v>127848</v>
      </c>
      <c r="C1888" s="47" t="str">
        <f>"MANATEE"</f>
        <v>MANATEE</v>
      </c>
      <c r="D1888" s="123">
        <f>SUMIF(B$3:B$3844,B1888,M$3:M$3844)/(SUMIF(B$3:B$3844,B1888,J$3:J$3844))</f>
        <v>0.64425696034711344</v>
      </c>
      <c r="E1888" s="47">
        <v>38439</v>
      </c>
      <c r="F1888" s="48" t="str">
        <f>"PALMETTO HIGH SCHOOL"</f>
        <v>PALMETTO HIGH SCHOOL</v>
      </c>
      <c r="G1888" s="47"/>
      <c r="H1888" s="47"/>
      <c r="I1888" s="40">
        <v>1250</v>
      </c>
      <c r="J1888" s="40">
        <v>2111</v>
      </c>
      <c r="K1888" s="20"/>
      <c r="L1888" s="21"/>
      <c r="M1888" s="110">
        <f>IF(L1888="",I1888,(MIN(J1888,(L1888*1.6*J1888))))</f>
        <v>1250</v>
      </c>
      <c r="N1888" s="111">
        <f>IF(M1888=0,0,(M1888/J1888))</f>
        <v>0.59213642823306489</v>
      </c>
    </row>
    <row r="1889" spans="2:14">
      <c r="B1889" s="73">
        <v>127848</v>
      </c>
      <c r="C1889" s="23" t="str">
        <f>"MANATEE"</f>
        <v>MANATEE</v>
      </c>
      <c r="D1889" s="123">
        <f>SUMIF(B$3:B$3844,B1889,M$3:M$3844)/(SUMIF(B$3:B$3844,B1889,J$3:J$3844))</f>
        <v>0.64425696034711344</v>
      </c>
      <c r="E1889" s="23">
        <v>16030622</v>
      </c>
      <c r="F1889" s="46" t="str">
        <f>"PARENT INFORMATION CENTER"</f>
        <v>PARENT INFORMATION CENTER</v>
      </c>
      <c r="G1889" s="23"/>
      <c r="H1889" s="23"/>
      <c r="I1889" s="41"/>
      <c r="J1889" s="41">
        <v>0</v>
      </c>
      <c r="K1889" s="20"/>
      <c r="L1889" s="21"/>
      <c r="M1889" s="110">
        <f>IF(L1889="",I1889,(MIN(J1889,(L1889*1.6*J1889))))</f>
        <v>0</v>
      </c>
      <c r="N1889" s="111">
        <f>IF(M1889=0,0,(M1889/J1889))</f>
        <v>0</v>
      </c>
    </row>
    <row r="1890" spans="2:14">
      <c r="B1890" s="72">
        <v>127848</v>
      </c>
      <c r="C1890" s="47" t="str">
        <f>"MANATEE"</f>
        <v>MANATEE</v>
      </c>
      <c r="D1890" s="123">
        <f>SUMIF(B$3:B$3844,B1890,M$3:M$3844)/(SUMIF(B$3:B$3844,B1890,J$3:J$3844))</f>
        <v>0.64425696034711344</v>
      </c>
      <c r="E1890" s="47">
        <v>16021968</v>
      </c>
      <c r="F1890" s="48" t="str">
        <f>"R. DAN NOLAN MIDDLE SCHOOL"</f>
        <v>R. DAN NOLAN MIDDLE SCHOOL</v>
      </c>
      <c r="G1890" s="47"/>
      <c r="H1890" s="47"/>
      <c r="I1890" s="40">
        <v>282</v>
      </c>
      <c r="J1890" s="40">
        <v>1146</v>
      </c>
      <c r="K1890" s="20"/>
      <c r="L1890" s="21"/>
      <c r="M1890" s="110">
        <f>IF(L1890="",I1890,(MIN(J1890,(L1890*1.6*J1890))))</f>
        <v>282</v>
      </c>
      <c r="N1890" s="111">
        <f>IF(M1890=0,0,(M1890/J1890))</f>
        <v>0.24607329842931938</v>
      </c>
    </row>
    <row r="1891" spans="2:14">
      <c r="B1891" s="73">
        <v>127848</v>
      </c>
      <c r="C1891" s="23" t="str">
        <f>"MANATEE"</f>
        <v>MANATEE</v>
      </c>
      <c r="D1891" s="123">
        <f>SUMIF(B$3:B$3844,B1891,M$3:M$3844)/(SUMIF(B$3:B$3844,B1891,J$3:J$3844))</f>
        <v>0.64425696034711344</v>
      </c>
      <c r="E1891" s="23">
        <v>38404</v>
      </c>
      <c r="F1891" s="46" t="s">
        <v>2152</v>
      </c>
      <c r="G1891" s="23"/>
      <c r="H1891" s="23"/>
      <c r="I1891" s="41"/>
      <c r="J1891" s="41">
        <v>792</v>
      </c>
      <c r="K1891" s="20">
        <v>2015</v>
      </c>
      <c r="L1891" s="21">
        <v>0.68519999999999992</v>
      </c>
      <c r="M1891" s="110">
        <f>IF(L1891="",I1891,(MIN(J1891,(L1891*1.6*J1891))))</f>
        <v>792</v>
      </c>
      <c r="N1891" s="111">
        <f>IF(M1891=0,0,(M1891/J1891))</f>
        <v>1</v>
      </c>
    </row>
    <row r="1892" spans="2:14">
      <c r="B1892" s="72">
        <v>127848</v>
      </c>
      <c r="C1892" s="47" t="str">
        <f>"MANATEE"</f>
        <v>MANATEE</v>
      </c>
      <c r="D1892" s="123">
        <f>SUMIF(B$3:B$3844,B1892,M$3:M$3844)/(SUMIF(B$3:B$3844,B1892,J$3:J$3844))</f>
        <v>0.64425696034711344</v>
      </c>
      <c r="E1892" s="47">
        <v>16031154</v>
      </c>
      <c r="F1892" s="48" t="s">
        <v>2153</v>
      </c>
      <c r="G1892" s="47"/>
      <c r="H1892" s="47"/>
      <c r="I1892" s="40">
        <v>147</v>
      </c>
      <c r="J1892" s="40">
        <v>746</v>
      </c>
      <c r="K1892" s="20"/>
      <c r="L1892" s="21"/>
      <c r="M1892" s="110">
        <f>IF(L1892="",I1892,(MIN(J1892,(L1892*1.6*J1892))))</f>
        <v>147</v>
      </c>
      <c r="N1892" s="111">
        <f>IF(M1892=0,0,(M1892/J1892))</f>
        <v>0.1970509383378016</v>
      </c>
    </row>
    <row r="1893" spans="2:14">
      <c r="B1893" s="73">
        <v>127848</v>
      </c>
      <c r="C1893" s="23" t="str">
        <f>"MANATEE"</f>
        <v>MANATEE</v>
      </c>
      <c r="D1893" s="123">
        <f>SUMIF(B$3:B$3844,B1893,M$3:M$3844)/(SUMIF(B$3:B$3844,B1893,J$3:J$3844))</f>
        <v>0.64425696034711344</v>
      </c>
      <c r="E1893" s="23">
        <v>38417</v>
      </c>
      <c r="F1893" s="46" t="str">
        <f>"SAMOSET ELEMENTARY SCHOOL"</f>
        <v>SAMOSET ELEMENTARY SCHOOL</v>
      </c>
      <c r="G1893" s="23"/>
      <c r="H1893" s="23"/>
      <c r="I1893" s="41"/>
      <c r="J1893" s="41">
        <v>516</v>
      </c>
      <c r="K1893" s="20">
        <v>2015</v>
      </c>
      <c r="L1893" s="21">
        <v>0.68519999999999992</v>
      </c>
      <c r="M1893" s="110">
        <f>IF(L1893="",I1893,(MIN(J1893,(L1893*1.6*J1893))))</f>
        <v>516</v>
      </c>
      <c r="N1893" s="111">
        <f>IF(M1893=0,0,(M1893/J1893))</f>
        <v>1</v>
      </c>
    </row>
    <row r="1894" spans="2:14">
      <c r="B1894" s="72">
        <v>127848</v>
      </c>
      <c r="C1894" s="47" t="str">
        <f>"MANATEE"</f>
        <v>MANATEE</v>
      </c>
      <c r="D1894" s="123">
        <f>SUMIF(B$3:B$3844,B1894,M$3:M$3844)/(SUMIF(B$3:B$3844,B1894,J$3:J$3844))</f>
        <v>0.64425696034711344</v>
      </c>
      <c r="E1894" s="47">
        <v>38399</v>
      </c>
      <c r="F1894" s="48" t="s">
        <v>2154</v>
      </c>
      <c r="G1894" s="47"/>
      <c r="H1894" s="47"/>
      <c r="I1894" s="40"/>
      <c r="J1894" s="40">
        <v>443</v>
      </c>
      <c r="K1894" s="20">
        <v>2015</v>
      </c>
      <c r="L1894" s="21">
        <v>0.68519999999999992</v>
      </c>
      <c r="M1894" s="110">
        <f>IF(L1894="",I1894,(MIN(J1894,(L1894*1.6*J1894))))</f>
        <v>443</v>
      </c>
      <c r="N1894" s="111">
        <f>IF(M1894=0,0,(M1894/J1894))</f>
        <v>1</v>
      </c>
    </row>
    <row r="1895" spans="2:14">
      <c r="B1895" s="73">
        <v>127848</v>
      </c>
      <c r="C1895" s="23" t="str">
        <f>"MANATEE"</f>
        <v>MANATEE</v>
      </c>
      <c r="D1895" s="123">
        <f>SUMIF(B$3:B$3844,B1895,M$3:M$3844)/(SUMIF(B$3:B$3844,B1895,J$3:J$3844))</f>
        <v>0.64425696034711344</v>
      </c>
      <c r="E1895" s="23">
        <v>38403</v>
      </c>
      <c r="F1895" s="46" t="str">
        <f>"SEA BREEZE ELEMENTARY SCHOOL"</f>
        <v>SEA BREEZE ELEMENTARY SCHOOL</v>
      </c>
      <c r="G1895" s="23"/>
      <c r="H1895" s="23"/>
      <c r="I1895" s="41"/>
      <c r="J1895" s="41">
        <v>596</v>
      </c>
      <c r="K1895" s="20">
        <v>2015</v>
      </c>
      <c r="L1895" s="21">
        <v>0.68519999999999992</v>
      </c>
      <c r="M1895" s="110">
        <f>IF(L1895="",I1895,(MIN(J1895,(L1895*1.6*J1895))))</f>
        <v>596</v>
      </c>
      <c r="N1895" s="111">
        <f>IF(M1895=0,0,(M1895/J1895))</f>
        <v>1</v>
      </c>
    </row>
    <row r="1896" spans="2:14">
      <c r="B1896" s="72">
        <v>127848</v>
      </c>
      <c r="C1896" s="47" t="str">
        <f>"MANATEE"</f>
        <v>MANATEE</v>
      </c>
      <c r="D1896" s="123">
        <f>SUMIF(B$3:B$3844,B1896,M$3:M$3844)/(SUMIF(B$3:B$3844,B1896,J$3:J$3844))</f>
        <v>0.64425696034711344</v>
      </c>
      <c r="E1896" s="47">
        <v>38418</v>
      </c>
      <c r="F1896" s="48" t="str">
        <f>"SOUTHEAST HIGH SCHOOL"</f>
        <v>SOUTHEAST HIGH SCHOOL</v>
      </c>
      <c r="G1896" s="47"/>
      <c r="H1896" s="47"/>
      <c r="I1896" s="40">
        <v>1097</v>
      </c>
      <c r="J1896" s="40">
        <v>1551</v>
      </c>
      <c r="K1896" s="20"/>
      <c r="L1896" s="21"/>
      <c r="M1896" s="110">
        <f>IF(L1896="",I1896,(MIN(J1896,(L1896*1.6*J1896))))</f>
        <v>1097</v>
      </c>
      <c r="N1896" s="111">
        <f>IF(M1896=0,0,(M1896/J1896))</f>
        <v>0.70728562217923918</v>
      </c>
    </row>
    <row r="1897" spans="2:14">
      <c r="B1897" s="73">
        <v>127848</v>
      </c>
      <c r="C1897" s="23" t="str">
        <f>"MANATEE"</f>
        <v>MANATEE</v>
      </c>
      <c r="D1897" s="123">
        <f>SUMIF(B$3:B$3844,B1897,M$3:M$3844)/(SUMIF(B$3:B$3844,B1897,J$3:J$3844))</f>
        <v>0.64425696034711344</v>
      </c>
      <c r="E1897" s="23">
        <v>38400</v>
      </c>
      <c r="F1897" s="46" t="str">
        <f>"TARA ELEMENTARY SCHOOL"</f>
        <v>TARA ELEMENTARY SCHOOL</v>
      </c>
      <c r="G1897" s="23"/>
      <c r="H1897" s="23"/>
      <c r="I1897" s="41">
        <v>368</v>
      </c>
      <c r="J1897" s="41">
        <v>641</v>
      </c>
      <c r="K1897" s="20"/>
      <c r="L1897" s="21"/>
      <c r="M1897" s="110">
        <f>IF(L1897="",I1897,(MIN(J1897,(L1897*1.6*J1897))))</f>
        <v>368</v>
      </c>
      <c r="N1897" s="111">
        <f>IF(M1897=0,0,(M1897/J1897))</f>
        <v>0.57410296411856476</v>
      </c>
    </row>
    <row r="1898" spans="2:14">
      <c r="B1898" s="72">
        <v>127848</v>
      </c>
      <c r="C1898" s="47" t="str">
        <f>"MANATEE"</f>
        <v>MANATEE</v>
      </c>
      <c r="D1898" s="123">
        <f>SUMIF(B$3:B$3844,B1898,M$3:M$3844)/(SUMIF(B$3:B$3844,B1898,J$3:J$3844))</f>
        <v>0.64425696034711344</v>
      </c>
      <c r="E1898" s="47">
        <v>16045070</v>
      </c>
      <c r="F1898" s="48" t="s">
        <v>2155</v>
      </c>
      <c r="G1898" s="47"/>
      <c r="H1898" s="47"/>
      <c r="I1898" s="40"/>
      <c r="J1898" s="40">
        <v>0</v>
      </c>
      <c r="K1898" s="20"/>
      <c r="L1898" s="21"/>
      <c r="M1898" s="110">
        <f>IF(L1898="",I1898,(MIN(J1898,(L1898*1.6*J1898))))</f>
        <v>0</v>
      </c>
      <c r="N1898" s="111">
        <f>IF(M1898=0,0,(M1898/J1898))</f>
        <v>0</v>
      </c>
    </row>
    <row r="1899" spans="2:14">
      <c r="B1899" s="73">
        <v>127848</v>
      </c>
      <c r="C1899" s="23" t="str">
        <f>"MANATEE"</f>
        <v>MANATEE</v>
      </c>
      <c r="D1899" s="123">
        <f>SUMIF(B$3:B$3844,B1899,M$3:M$3844)/(SUMIF(B$3:B$3844,B1899,J$3:J$3844))</f>
        <v>0.64425696034711344</v>
      </c>
      <c r="E1899" s="23">
        <v>16021965</v>
      </c>
      <c r="F1899" s="46" t="str">
        <f>"VIRGIL MILLS ELEMENTARY SCHOOL"</f>
        <v>VIRGIL MILLS ELEMENTARY SCHOOL</v>
      </c>
      <c r="G1899" s="23"/>
      <c r="H1899" s="23"/>
      <c r="I1899" s="41">
        <v>529</v>
      </c>
      <c r="J1899" s="41">
        <v>1183</v>
      </c>
      <c r="K1899" s="20"/>
      <c r="L1899" s="21"/>
      <c r="M1899" s="110">
        <f>IF(L1899="",I1899,(MIN(J1899,(L1899*1.6*J1899))))</f>
        <v>529</v>
      </c>
      <c r="N1899" s="111">
        <f>IF(M1899=0,0,(M1899/J1899))</f>
        <v>0.44716821639898563</v>
      </c>
    </row>
    <row r="1900" spans="2:14">
      <c r="B1900" s="72">
        <v>127848</v>
      </c>
      <c r="C1900" s="47" t="str">
        <f>"MANATEE"</f>
        <v>MANATEE</v>
      </c>
      <c r="D1900" s="123">
        <f>SUMIF(B$3:B$3844,B1900,M$3:M$3844)/(SUMIF(B$3:B$3844,B1900,J$3:J$3844))</f>
        <v>0.64425696034711344</v>
      </c>
      <c r="E1900" s="47">
        <v>38427</v>
      </c>
      <c r="F1900" s="48" t="str">
        <f>"W. D. SUGG MIDDLE SCHOOL"</f>
        <v>W. D. SUGG MIDDLE SCHOOL</v>
      </c>
      <c r="G1900" s="47"/>
      <c r="H1900" s="47"/>
      <c r="I1900" s="40"/>
      <c r="J1900" s="40">
        <v>706</v>
      </c>
      <c r="K1900" s="20">
        <v>2015</v>
      </c>
      <c r="L1900" s="21">
        <v>0.68519999999999992</v>
      </c>
      <c r="M1900" s="110">
        <f>IF(L1900="",I1900,(MIN(J1900,(L1900*1.6*J1900))))</f>
        <v>706</v>
      </c>
      <c r="N1900" s="111">
        <f>IF(M1900=0,0,(M1900/J1900))</f>
        <v>1</v>
      </c>
    </row>
    <row r="1901" spans="2:14">
      <c r="B1901" s="73">
        <v>127848</v>
      </c>
      <c r="C1901" s="23" t="str">
        <f>"MANATEE"</f>
        <v>MANATEE</v>
      </c>
      <c r="D1901" s="123">
        <f>SUMIF(B$3:B$3844,B1901,M$3:M$3844)/(SUMIF(B$3:B$3844,B1901,J$3:J$3844))</f>
        <v>0.64425696034711344</v>
      </c>
      <c r="E1901" s="23">
        <v>38419</v>
      </c>
      <c r="F1901" s="46" t="str">
        <f>"WILLIAM H. BASHAW ELEMENTARY"</f>
        <v>WILLIAM H. BASHAW ELEMENTARY</v>
      </c>
      <c r="G1901" s="23"/>
      <c r="H1901" s="23"/>
      <c r="I1901" s="41">
        <v>402</v>
      </c>
      <c r="J1901" s="41">
        <v>570</v>
      </c>
      <c r="K1901" s="20"/>
      <c r="L1901" s="21"/>
      <c r="M1901" s="110">
        <f>IF(L1901="",I1901,(MIN(J1901,(L1901*1.6*J1901))))</f>
        <v>402</v>
      </c>
      <c r="N1901" s="111">
        <f>IF(M1901=0,0,(M1901/J1901))</f>
        <v>0.70526315789473681</v>
      </c>
    </row>
    <row r="1902" spans="2:14">
      <c r="B1902" s="73">
        <v>127868</v>
      </c>
      <c r="C1902" s="23" t="s">
        <v>927</v>
      </c>
      <c r="D1902" s="123">
        <f>SUMIF(B$3:B$3844,B1902,M$3:M$3844)/(SUMIF(B$3:B$3844,B1902,J$3:J$3844))</f>
        <v>0.8240543389155639</v>
      </c>
      <c r="E1902" s="23">
        <v>35713</v>
      </c>
      <c r="F1902" s="46" t="str">
        <f>"ANTHONY ELEMENTARY SCHOOL"</f>
        <v>ANTHONY ELEMENTARY SCHOOL</v>
      </c>
      <c r="G1902" s="23"/>
      <c r="H1902" s="23"/>
      <c r="I1902" s="41"/>
      <c r="J1902" s="41">
        <v>383</v>
      </c>
      <c r="K1902" s="20">
        <v>2014</v>
      </c>
      <c r="L1902" s="20">
        <v>66.72</v>
      </c>
      <c r="M1902" s="110">
        <f>IF(L1902="",I1902,(MIN(J1902,(L1902*1.6*J1902))))</f>
        <v>383</v>
      </c>
      <c r="N1902" s="111">
        <f>IF(M1902=0,0,(M1902/J1902))</f>
        <v>1</v>
      </c>
    </row>
    <row r="1903" spans="2:14">
      <c r="B1903" s="72">
        <v>127868</v>
      </c>
      <c r="C1903" s="47" t="s">
        <v>927</v>
      </c>
      <c r="D1903" s="123">
        <f>SUMIF(B$3:B$3844,B1903,M$3:M$3844)/(SUMIF(B$3:B$3844,B1903,J$3:J$3844))</f>
        <v>0.8240543389155639</v>
      </c>
      <c r="E1903" s="47">
        <v>16082870</v>
      </c>
      <c r="F1903" s="48" t="str">
        <f>"ARC BIRTH-22"</f>
        <v>ARC BIRTH-22</v>
      </c>
      <c r="G1903" s="47"/>
      <c r="H1903" s="47"/>
      <c r="I1903" s="40">
        <v>2</v>
      </c>
      <c r="J1903" s="40">
        <v>39</v>
      </c>
      <c r="K1903" s="20"/>
      <c r="L1903" s="20"/>
      <c r="M1903" s="110">
        <f>IF(L1903="",I1903,(MIN(J1903,(L1903*1.6*J1903))))</f>
        <v>2</v>
      </c>
      <c r="N1903" s="111">
        <f>IF(M1903=0,0,(M1903/J1903))</f>
        <v>5.128205128205128E-2</v>
      </c>
    </row>
    <row r="1904" spans="2:14">
      <c r="B1904" s="73">
        <v>127868</v>
      </c>
      <c r="C1904" s="23" t="s">
        <v>927</v>
      </c>
      <c r="D1904" s="123">
        <f>SUMIF(B$3:B$3844,B1904,M$3:M$3844)/(SUMIF(B$3:B$3844,B1904,J$3:J$3844))</f>
        <v>0.8240543389155639</v>
      </c>
      <c r="E1904" s="23">
        <v>38520</v>
      </c>
      <c r="F1904" s="46" t="str">
        <f>"BELLEVIEW ELEMENTARY SCHOOL"</f>
        <v>BELLEVIEW ELEMENTARY SCHOOL</v>
      </c>
      <c r="G1904" s="23"/>
      <c r="H1904" s="23"/>
      <c r="I1904" s="41"/>
      <c r="J1904" s="41">
        <v>647</v>
      </c>
      <c r="K1904" s="20">
        <v>2014</v>
      </c>
      <c r="L1904" s="20">
        <v>66.72</v>
      </c>
      <c r="M1904" s="110">
        <f>IF(L1904="",I1904,(MIN(J1904,(L1904*1.6*J1904))))</f>
        <v>647</v>
      </c>
      <c r="N1904" s="111">
        <f>IF(M1904=0,0,(M1904/J1904))</f>
        <v>1</v>
      </c>
    </row>
    <row r="1905" spans="2:14">
      <c r="B1905" s="72">
        <v>127868</v>
      </c>
      <c r="C1905" s="47" t="s">
        <v>927</v>
      </c>
      <c r="D1905" s="123">
        <f>SUMIF(B$3:B$3844,B1905,M$3:M$3844)/(SUMIF(B$3:B$3844,B1905,J$3:J$3844))</f>
        <v>0.8240543389155639</v>
      </c>
      <c r="E1905" s="47">
        <v>38518</v>
      </c>
      <c r="F1905" s="48" t="str">
        <f>"BELLEVIEW HIGH SCHOOL"</f>
        <v>BELLEVIEW HIGH SCHOOL</v>
      </c>
      <c r="G1905" s="47"/>
      <c r="H1905" s="47"/>
      <c r="I1905" s="40">
        <v>986</v>
      </c>
      <c r="J1905" s="40">
        <v>1576</v>
      </c>
      <c r="K1905" s="20"/>
      <c r="L1905" s="20"/>
      <c r="M1905" s="110">
        <f>IF(L1905="",I1905,(MIN(J1905,(L1905*1.6*J1905))))</f>
        <v>986</v>
      </c>
      <c r="N1905" s="111">
        <f>IF(M1905=0,0,(M1905/J1905))</f>
        <v>0.62563451776649748</v>
      </c>
    </row>
    <row r="1906" spans="2:14">
      <c r="B1906" s="73">
        <v>127868</v>
      </c>
      <c r="C1906" s="23" t="s">
        <v>927</v>
      </c>
      <c r="D1906" s="123">
        <f>SUMIF(B$3:B$3844,B1906,M$3:M$3844)/(SUMIF(B$3:B$3844,B1906,J$3:J$3844))</f>
        <v>0.8240543389155639</v>
      </c>
      <c r="E1906" s="23">
        <v>38519</v>
      </c>
      <c r="F1906" s="46" t="str">
        <f>"BELLEVIEW MIDDLE SCHOOL"</f>
        <v>BELLEVIEW MIDDLE SCHOOL</v>
      </c>
      <c r="G1906" s="23"/>
      <c r="H1906" s="23"/>
      <c r="I1906" s="41">
        <v>735</v>
      </c>
      <c r="J1906" s="41">
        <v>1026</v>
      </c>
      <c r="K1906" s="20"/>
      <c r="L1906" s="20"/>
      <c r="M1906" s="110">
        <f>IF(L1906="",I1906,(MIN(J1906,(L1906*1.6*J1906))))</f>
        <v>735</v>
      </c>
      <c r="N1906" s="111">
        <f>IF(M1906=0,0,(M1906/J1906))</f>
        <v>0.716374269005848</v>
      </c>
    </row>
    <row r="1907" spans="2:14">
      <c r="B1907" s="72">
        <v>127868</v>
      </c>
      <c r="C1907" s="47" t="s">
        <v>927</v>
      </c>
      <c r="D1907" s="123">
        <f>SUMIF(B$3:B$3844,B1907,M$3:M$3844)/(SUMIF(B$3:B$3844,B1907,J$3:J$3844))</f>
        <v>0.8240543389155639</v>
      </c>
      <c r="E1907" s="47">
        <v>38522</v>
      </c>
      <c r="F1907" s="48" t="s">
        <v>906</v>
      </c>
      <c r="G1907" s="47"/>
      <c r="H1907" s="47"/>
      <c r="I1907" s="40"/>
      <c r="J1907" s="40">
        <v>540</v>
      </c>
      <c r="K1907" s="20">
        <v>2014</v>
      </c>
      <c r="L1907" s="20">
        <v>66.72</v>
      </c>
      <c r="M1907" s="110">
        <f>IF(L1907="",I1907,(MIN(J1907,(L1907*1.6*J1907))))</f>
        <v>540</v>
      </c>
      <c r="N1907" s="111">
        <f>IF(M1907=0,0,(M1907/J1907))</f>
        <v>1</v>
      </c>
    </row>
    <row r="1908" spans="2:14">
      <c r="B1908" s="73">
        <v>127868</v>
      </c>
      <c r="C1908" s="23" t="s">
        <v>927</v>
      </c>
      <c r="D1908" s="123">
        <f>SUMIF(B$3:B$3844,B1908,M$3:M$3844)/(SUMIF(B$3:B$3844,B1908,J$3:J$3844))</f>
        <v>0.8240543389155639</v>
      </c>
      <c r="E1908" s="23">
        <v>16082822</v>
      </c>
      <c r="F1908" s="46" t="str">
        <f>"CATAPULT ACADEMY"</f>
        <v>CATAPULT ACADEMY</v>
      </c>
      <c r="G1908" s="23"/>
      <c r="H1908" s="23"/>
      <c r="I1908" s="41">
        <v>142</v>
      </c>
      <c r="J1908" s="41">
        <v>210</v>
      </c>
      <c r="K1908" s="20"/>
      <c r="L1908" s="20"/>
      <c r="M1908" s="110">
        <f>IF(L1908="",I1908,(MIN(J1908,(L1908*1.6*J1908))))</f>
        <v>142</v>
      </c>
      <c r="N1908" s="111">
        <f>IF(M1908=0,0,(M1908/J1908))</f>
        <v>0.67619047619047623</v>
      </c>
    </row>
    <row r="1909" spans="2:14">
      <c r="B1909" s="72">
        <v>127868</v>
      </c>
      <c r="C1909" s="47" t="s">
        <v>927</v>
      </c>
      <c r="D1909" s="123">
        <f>SUMIF(B$3:B$3844,B1909,M$3:M$3844)/(SUMIF(B$3:B$3844,B1909,J$3:J$3844))</f>
        <v>0.8240543389155639</v>
      </c>
      <c r="E1909" s="47">
        <v>38584</v>
      </c>
      <c r="F1909" s="48" t="str">
        <f>"COLLEGE PARK ELEMENTARY SCHOOL"</f>
        <v>COLLEGE PARK ELEMENTARY SCHOOL</v>
      </c>
      <c r="G1909" s="47"/>
      <c r="H1909" s="47"/>
      <c r="I1909" s="40"/>
      <c r="J1909" s="40">
        <v>825</v>
      </c>
      <c r="K1909" s="20">
        <v>2014</v>
      </c>
      <c r="L1909" s="20">
        <v>66.72</v>
      </c>
      <c r="M1909" s="110">
        <f>IF(L1909="",I1909,(MIN(J1909,(L1909*1.6*J1909))))</f>
        <v>825</v>
      </c>
      <c r="N1909" s="111">
        <f>IF(M1909=0,0,(M1909/J1909))</f>
        <v>1</v>
      </c>
    </row>
    <row r="1910" spans="2:14" ht="30">
      <c r="B1910" s="73">
        <v>127868</v>
      </c>
      <c r="C1910" s="23" t="s">
        <v>927</v>
      </c>
      <c r="D1910" s="123">
        <f>SUMIF(B$3:B$3844,B1910,M$3:M$3844)/(SUMIF(B$3:B$3844,B1910,J$3:J$3844))</f>
        <v>0.8240543389155639</v>
      </c>
      <c r="E1910" s="23">
        <v>228340</v>
      </c>
      <c r="F1910" s="46" t="s">
        <v>907</v>
      </c>
      <c r="G1910" s="23"/>
      <c r="H1910" s="23"/>
      <c r="I1910" s="41">
        <v>10</v>
      </c>
      <c r="J1910" s="41">
        <v>15</v>
      </c>
      <c r="K1910" s="20"/>
      <c r="L1910" s="20"/>
      <c r="M1910" s="110">
        <f>IF(L1910="",I1910,(MIN(J1910,(L1910*1.6*J1910))))</f>
        <v>10</v>
      </c>
      <c r="N1910" s="111">
        <f>IF(M1910=0,0,(M1910/J1910))</f>
        <v>0.66666666666666663</v>
      </c>
    </row>
    <row r="1911" spans="2:14">
      <c r="B1911" s="72">
        <v>127868</v>
      </c>
      <c r="C1911" s="47" t="s">
        <v>927</v>
      </c>
      <c r="D1911" s="123">
        <f>SUMIF(B$3:B$3844,B1911,M$3:M$3844)/(SUMIF(B$3:B$3844,B1911,J$3:J$3844))</f>
        <v>0.8240543389155639</v>
      </c>
      <c r="E1911" s="47">
        <v>38585</v>
      </c>
      <c r="F1911" s="48" t="str">
        <f>"DR N H JONES ELEMENTARY SCHOOL"</f>
        <v>DR N H JONES ELEMENTARY SCHOOL</v>
      </c>
      <c r="G1911" s="47"/>
      <c r="H1911" s="47"/>
      <c r="I1911" s="40"/>
      <c r="J1911" s="40">
        <v>646</v>
      </c>
      <c r="K1911" s="20">
        <v>2014</v>
      </c>
      <c r="L1911" s="20">
        <v>66.72</v>
      </c>
      <c r="M1911" s="110">
        <f>IF(L1911="",I1911,(MIN(J1911,(L1911*1.6*J1911))))</f>
        <v>646</v>
      </c>
      <c r="N1911" s="111">
        <f>IF(M1911=0,0,(M1911/J1911))</f>
        <v>1</v>
      </c>
    </row>
    <row r="1912" spans="2:14">
      <c r="B1912" s="73">
        <v>127868</v>
      </c>
      <c r="C1912" s="23" t="s">
        <v>927</v>
      </c>
      <c r="D1912" s="123">
        <f>SUMIF(B$3:B$3844,B1912,M$3:M$3844)/(SUMIF(B$3:B$3844,B1912,J$3:J$3844))</f>
        <v>0.8240543389155639</v>
      </c>
      <c r="E1912" s="23">
        <v>38534</v>
      </c>
      <c r="F1912" s="46" t="str">
        <f>"DUNNELLON ELEMENTARY SCHOOL"</f>
        <v>DUNNELLON ELEMENTARY SCHOOL</v>
      </c>
      <c r="G1912" s="23"/>
      <c r="H1912" s="23"/>
      <c r="I1912" s="41"/>
      <c r="J1912" s="41">
        <v>582</v>
      </c>
      <c r="K1912" s="20">
        <v>2014</v>
      </c>
      <c r="L1912" s="20">
        <v>66.72</v>
      </c>
      <c r="M1912" s="110">
        <f>IF(L1912="",I1912,(MIN(J1912,(L1912*1.6*J1912))))</f>
        <v>582</v>
      </c>
      <c r="N1912" s="111">
        <f>IF(M1912=0,0,(M1912/J1912))</f>
        <v>1</v>
      </c>
    </row>
    <row r="1913" spans="2:14">
      <c r="B1913" s="72">
        <v>127868</v>
      </c>
      <c r="C1913" s="47" t="s">
        <v>927</v>
      </c>
      <c r="D1913" s="123">
        <f>SUMIF(B$3:B$3844,B1913,M$3:M$3844)/(SUMIF(B$3:B$3844,B1913,J$3:J$3844))</f>
        <v>0.8240543389155639</v>
      </c>
      <c r="E1913" s="47">
        <v>38533</v>
      </c>
      <c r="F1913" s="48" t="str">
        <f>"DUNNELLON HIGH SCHOOL"</f>
        <v>DUNNELLON HIGH SCHOOL</v>
      </c>
      <c r="G1913" s="47"/>
      <c r="H1913" s="47"/>
      <c r="I1913" s="40">
        <v>799</v>
      </c>
      <c r="J1913" s="40">
        <v>1126</v>
      </c>
      <c r="K1913" s="20"/>
      <c r="L1913" s="20"/>
      <c r="M1913" s="110">
        <f>IF(L1913="",I1913,(MIN(J1913,(L1913*1.6*J1913))))</f>
        <v>799</v>
      </c>
      <c r="N1913" s="111">
        <f>IF(M1913=0,0,(M1913/J1913))</f>
        <v>0.70959147424511548</v>
      </c>
    </row>
    <row r="1914" spans="2:14">
      <c r="B1914" s="73">
        <v>127868</v>
      </c>
      <c r="C1914" s="23" t="s">
        <v>927</v>
      </c>
      <c r="D1914" s="123">
        <f>SUMIF(B$3:B$3844,B1914,M$3:M$3844)/(SUMIF(B$3:B$3844,B1914,J$3:J$3844))</f>
        <v>0.8240543389155639</v>
      </c>
      <c r="E1914" s="23">
        <v>38532</v>
      </c>
      <c r="F1914" s="46" t="str">
        <f>"DUNNELLON MIDDLE SCHOOL"</f>
        <v>DUNNELLON MIDDLE SCHOOL</v>
      </c>
      <c r="G1914" s="23"/>
      <c r="H1914" s="23"/>
      <c r="I1914" s="41">
        <v>491</v>
      </c>
      <c r="J1914" s="41">
        <v>626</v>
      </c>
      <c r="K1914" s="20"/>
      <c r="L1914" s="20"/>
      <c r="M1914" s="110">
        <f>IF(L1914="",I1914,(MIN(J1914,(L1914*1.6*J1914))))</f>
        <v>491</v>
      </c>
      <c r="N1914" s="111">
        <f>IF(M1914=0,0,(M1914/J1914))</f>
        <v>0.78434504792332271</v>
      </c>
    </row>
    <row r="1915" spans="2:14">
      <c r="B1915" s="72">
        <v>127868</v>
      </c>
      <c r="C1915" s="47" t="s">
        <v>927</v>
      </c>
      <c r="D1915" s="123">
        <f>SUMIF(B$3:B$3844,B1915,M$3:M$3844)/(SUMIF(B$3:B$3844,B1915,J$3:J$3844))</f>
        <v>0.8240543389155639</v>
      </c>
      <c r="E1915" s="47">
        <v>38601</v>
      </c>
      <c r="F1915" s="48" t="str">
        <f>"EAST MARION ELEMENTARY SCHOOL"</f>
        <v>EAST MARION ELEMENTARY SCHOOL</v>
      </c>
      <c r="G1915" s="47"/>
      <c r="H1915" s="47"/>
      <c r="I1915" s="40"/>
      <c r="J1915" s="40">
        <v>666</v>
      </c>
      <c r="K1915" s="20">
        <v>2014</v>
      </c>
      <c r="L1915" s="20">
        <v>66.72</v>
      </c>
      <c r="M1915" s="110">
        <f>IF(L1915="",I1915,(MIN(J1915,(L1915*1.6*J1915))))</f>
        <v>666</v>
      </c>
      <c r="N1915" s="111">
        <f>IF(M1915=0,0,(M1915/J1915))</f>
        <v>1</v>
      </c>
    </row>
    <row r="1916" spans="2:14">
      <c r="B1916" s="73">
        <v>127868</v>
      </c>
      <c r="C1916" s="23" t="s">
        <v>927</v>
      </c>
      <c r="D1916" s="123">
        <f>SUMIF(B$3:B$3844,B1916,M$3:M$3844)/(SUMIF(B$3:B$3844,B1916,J$3:J$3844))</f>
        <v>0.8240543389155639</v>
      </c>
      <c r="E1916" s="23">
        <v>38570</v>
      </c>
      <c r="F1916" s="46" t="s">
        <v>908</v>
      </c>
      <c r="G1916" s="23"/>
      <c r="H1916" s="23"/>
      <c r="I1916" s="41"/>
      <c r="J1916" s="41">
        <v>388</v>
      </c>
      <c r="K1916" s="20">
        <v>2014</v>
      </c>
      <c r="L1916" s="20">
        <v>66.72</v>
      </c>
      <c r="M1916" s="110">
        <f>IF(L1916="",I1916,(MIN(J1916,(L1916*1.6*J1916))))</f>
        <v>388</v>
      </c>
      <c r="N1916" s="111">
        <f>IF(M1916=0,0,(M1916/J1916))</f>
        <v>1</v>
      </c>
    </row>
    <row r="1917" spans="2:14">
      <c r="B1917" s="72">
        <v>127868</v>
      </c>
      <c r="C1917" s="47" t="s">
        <v>927</v>
      </c>
      <c r="D1917" s="123">
        <f>SUMIF(B$3:B$3844,B1917,M$3:M$3844)/(SUMIF(B$3:B$3844,B1917,J$3:J$3844))</f>
        <v>0.8240543389155639</v>
      </c>
      <c r="E1917" s="47">
        <v>38580</v>
      </c>
      <c r="F1917" s="48" t="s">
        <v>909</v>
      </c>
      <c r="G1917" s="47"/>
      <c r="H1917" s="47"/>
      <c r="I1917" s="40"/>
      <c r="J1917" s="40">
        <v>589</v>
      </c>
      <c r="K1917" s="20">
        <v>2014</v>
      </c>
      <c r="L1917" s="20">
        <v>66.72</v>
      </c>
      <c r="M1917" s="110">
        <f>IF(L1917="",I1917,(MIN(J1917,(L1917*1.6*J1917))))</f>
        <v>589</v>
      </c>
      <c r="N1917" s="111">
        <f>IF(M1917=0,0,(M1917/J1917))</f>
        <v>1</v>
      </c>
    </row>
    <row r="1918" spans="2:14">
      <c r="B1918" s="73">
        <v>127868</v>
      </c>
      <c r="C1918" s="23" t="s">
        <v>927</v>
      </c>
      <c r="D1918" s="123">
        <f>SUMIF(B$3:B$3844,B1918,M$3:M$3844)/(SUMIF(B$3:B$3844,B1918,J$3:J$3844))</f>
        <v>0.8240543389155639</v>
      </c>
      <c r="E1918" s="23">
        <v>38590</v>
      </c>
      <c r="F1918" s="46" t="str">
        <f>"EVERGREEN ELEMENTARY SCHOOL"</f>
        <v>EVERGREEN ELEMENTARY SCHOOL</v>
      </c>
      <c r="G1918" s="23"/>
      <c r="H1918" s="23"/>
      <c r="I1918" s="41"/>
      <c r="J1918" s="41">
        <v>563</v>
      </c>
      <c r="K1918" s="20">
        <v>2014</v>
      </c>
      <c r="L1918" s="20">
        <v>66.72</v>
      </c>
      <c r="M1918" s="110">
        <f>IF(L1918="",I1918,(MIN(J1918,(L1918*1.6*J1918))))</f>
        <v>563</v>
      </c>
      <c r="N1918" s="111">
        <f>IF(M1918=0,0,(M1918/J1918))</f>
        <v>1</v>
      </c>
    </row>
    <row r="1919" spans="2:14">
      <c r="B1919" s="72">
        <v>127868</v>
      </c>
      <c r="C1919" s="47" t="s">
        <v>927</v>
      </c>
      <c r="D1919" s="123">
        <f>SUMIF(B$3:B$3844,B1919,M$3:M$3844)/(SUMIF(B$3:B$3844,B1919,J$3:J$3844))</f>
        <v>0.8240543389155639</v>
      </c>
      <c r="E1919" s="47">
        <v>38598</v>
      </c>
      <c r="F1919" s="48" t="str">
        <f>"FESSENDEN ELEMENTARY SCHOOL"</f>
        <v>FESSENDEN ELEMENTARY SCHOOL</v>
      </c>
      <c r="G1919" s="47"/>
      <c r="H1919" s="47"/>
      <c r="I1919" s="40"/>
      <c r="J1919" s="40">
        <v>483</v>
      </c>
      <c r="K1919" s="20">
        <v>2014</v>
      </c>
      <c r="L1919" s="20">
        <v>66.72</v>
      </c>
      <c r="M1919" s="110">
        <f>IF(L1919="",I1919,(MIN(J1919,(L1919*1.6*J1919))))</f>
        <v>483</v>
      </c>
      <c r="N1919" s="111">
        <f>IF(M1919=0,0,(M1919/J1919))</f>
        <v>1</v>
      </c>
    </row>
    <row r="1920" spans="2:14">
      <c r="B1920" s="73">
        <v>127868</v>
      </c>
      <c r="C1920" s="23" t="s">
        <v>927</v>
      </c>
      <c r="D1920" s="123">
        <f>SUMIF(B$3:B$3844,B1920,M$3:M$3844)/(SUMIF(B$3:B$3844,B1920,J$3:J$3844))</f>
        <v>0.8240543389155639</v>
      </c>
      <c r="E1920" s="23">
        <v>38567</v>
      </c>
      <c r="F1920" s="46" t="str">
        <f>"FOREST HIGH SCHOOL"</f>
        <v>FOREST HIGH SCHOOL</v>
      </c>
      <c r="G1920" s="23"/>
      <c r="H1920" s="23"/>
      <c r="I1920" s="41">
        <v>1047</v>
      </c>
      <c r="J1920" s="41">
        <v>2179</v>
      </c>
      <c r="K1920" s="20"/>
      <c r="L1920" s="20"/>
      <c r="M1920" s="110">
        <f>IF(L1920="",I1920,(MIN(J1920,(L1920*1.6*J1920))))</f>
        <v>1047</v>
      </c>
      <c r="N1920" s="111">
        <f>IF(M1920=0,0,(M1920/J1920))</f>
        <v>0.48049564020192748</v>
      </c>
    </row>
    <row r="1921" spans="2:14">
      <c r="B1921" s="72">
        <v>127868</v>
      </c>
      <c r="C1921" s="47" t="s">
        <v>927</v>
      </c>
      <c r="D1921" s="123">
        <f>SUMIF(B$3:B$3844,B1921,M$3:M$3844)/(SUMIF(B$3:B$3844,B1921,J$3:J$3844))</f>
        <v>0.8240543389155639</v>
      </c>
      <c r="E1921" s="47">
        <v>38564</v>
      </c>
      <c r="F1921" s="48" t="str">
        <f>"FORT KING MIDDLE SCHOOL"</f>
        <v>FORT KING MIDDLE SCHOOL</v>
      </c>
      <c r="G1921" s="47"/>
      <c r="H1921" s="47"/>
      <c r="I1921" s="40">
        <v>787</v>
      </c>
      <c r="J1921" s="40">
        <v>1055</v>
      </c>
      <c r="K1921" s="20"/>
      <c r="L1921" s="20"/>
      <c r="M1921" s="110">
        <f>IF(L1921="",I1921,(MIN(J1921,(L1921*1.6*J1921))))</f>
        <v>787</v>
      </c>
      <c r="N1921" s="111">
        <f>IF(M1921=0,0,(M1921/J1921))</f>
        <v>0.7459715639810427</v>
      </c>
    </row>
    <row r="1922" spans="2:14">
      <c r="B1922" s="73">
        <v>127868</v>
      </c>
      <c r="C1922" s="23" t="s">
        <v>927</v>
      </c>
      <c r="D1922" s="123">
        <f>SUMIF(B$3:B$3844,B1922,M$3:M$3844)/(SUMIF(B$3:B$3844,B1922,J$3:J$3844))</f>
        <v>0.8240543389155639</v>
      </c>
      <c r="E1922" s="23">
        <v>34944</v>
      </c>
      <c r="F1922" s="46" t="s">
        <v>910</v>
      </c>
      <c r="G1922" s="23"/>
      <c r="H1922" s="23"/>
      <c r="I1922" s="41"/>
      <c r="J1922" s="41">
        <v>965</v>
      </c>
      <c r="K1922" s="20">
        <v>2014</v>
      </c>
      <c r="L1922" s="20">
        <v>66.72</v>
      </c>
      <c r="M1922" s="110">
        <f>IF(L1922="",I1922,(MIN(J1922,(L1922*1.6*J1922))))</f>
        <v>965</v>
      </c>
      <c r="N1922" s="111">
        <f>IF(M1922=0,0,(M1922/J1922))</f>
        <v>1</v>
      </c>
    </row>
    <row r="1923" spans="2:14">
      <c r="B1923" s="72">
        <v>127868</v>
      </c>
      <c r="C1923" s="47" t="s">
        <v>927</v>
      </c>
      <c r="D1923" s="123">
        <f>SUMIF(B$3:B$3844,B1923,M$3:M$3844)/(SUMIF(B$3:B$3844,B1923,J$3:J$3844))</f>
        <v>0.8240543389155639</v>
      </c>
      <c r="E1923" s="47">
        <v>16082823</v>
      </c>
      <c r="F1923" s="48" t="str">
        <f>"FRANCIS MARION CHARTER SCHOOL"</f>
        <v>FRANCIS MARION CHARTER SCHOOL</v>
      </c>
      <c r="G1923" s="47"/>
      <c r="H1923" s="47"/>
      <c r="I1923" s="40">
        <v>95</v>
      </c>
      <c r="J1923" s="40">
        <v>124</v>
      </c>
      <c r="K1923" s="20"/>
      <c r="L1923" s="20"/>
      <c r="M1923" s="110">
        <f>IF(L1923="",I1923,(MIN(J1923,(L1923*1.6*J1923))))</f>
        <v>95</v>
      </c>
      <c r="N1923" s="111">
        <f>IF(M1923=0,0,(M1923/J1923))</f>
        <v>0.7661290322580645</v>
      </c>
    </row>
    <row r="1924" spans="2:14">
      <c r="B1924" s="73">
        <v>127868</v>
      </c>
      <c r="C1924" s="23" t="s">
        <v>927</v>
      </c>
      <c r="D1924" s="123">
        <f>SUMIF(B$3:B$3844,B1924,M$3:M$3844)/(SUMIF(B$3:B$3844,B1924,J$3:J$3844))</f>
        <v>0.8240543389155639</v>
      </c>
      <c r="E1924" s="23">
        <v>16082824</v>
      </c>
      <c r="F1924" s="46" t="s">
        <v>911</v>
      </c>
      <c r="G1924" s="23"/>
      <c r="H1924" s="23"/>
      <c r="I1924" s="41">
        <v>72</v>
      </c>
      <c r="J1924" s="41">
        <v>98</v>
      </c>
      <c r="K1924" s="20"/>
      <c r="L1924" s="20"/>
      <c r="M1924" s="110">
        <f>IF(L1924="",I1924,(MIN(J1924,(L1924*1.6*J1924))))</f>
        <v>72</v>
      </c>
      <c r="N1924" s="111">
        <f>IF(M1924=0,0,(M1924/J1924))</f>
        <v>0.73469387755102045</v>
      </c>
    </row>
    <row r="1925" spans="2:14">
      <c r="B1925" s="72">
        <v>127868</v>
      </c>
      <c r="C1925" s="47" t="s">
        <v>927</v>
      </c>
      <c r="D1925" s="123">
        <f>SUMIF(B$3:B$3844,B1925,M$3:M$3844)/(SUMIF(B$3:B$3844,B1925,J$3:J$3844))</f>
        <v>0.8240543389155639</v>
      </c>
      <c r="E1925" s="47">
        <v>38582</v>
      </c>
      <c r="F1925" s="48" t="str">
        <f>"GREENWAY ELEMENTARY SCHOOL"</f>
        <v>GREENWAY ELEMENTARY SCHOOL</v>
      </c>
      <c r="G1925" s="47"/>
      <c r="H1925" s="47"/>
      <c r="I1925" s="40"/>
      <c r="J1925" s="40">
        <v>740</v>
      </c>
      <c r="K1925" s="20">
        <v>2014</v>
      </c>
      <c r="L1925" s="20">
        <v>66.72</v>
      </c>
      <c r="M1925" s="110">
        <f>IF(L1925="",I1925,(MIN(J1925,(L1925*1.6*J1925))))</f>
        <v>740</v>
      </c>
      <c r="N1925" s="111">
        <f>IF(M1925=0,0,(M1925/J1925))</f>
        <v>1</v>
      </c>
    </row>
    <row r="1926" spans="2:14">
      <c r="B1926" s="73">
        <v>127868</v>
      </c>
      <c r="C1926" s="23" t="s">
        <v>927</v>
      </c>
      <c r="D1926" s="123">
        <f>SUMIF(B$3:B$3844,B1926,M$3:M$3844)/(SUMIF(B$3:B$3844,B1926,J$3:J$3844))</f>
        <v>0.8240543389155639</v>
      </c>
      <c r="E1926" s="23">
        <v>16033393</v>
      </c>
      <c r="F1926" s="46" t="s">
        <v>912</v>
      </c>
      <c r="G1926" s="23"/>
      <c r="H1926" s="23"/>
      <c r="I1926" s="41"/>
      <c r="J1926" s="41">
        <v>788</v>
      </c>
      <c r="K1926" s="20">
        <v>2014</v>
      </c>
      <c r="L1926" s="20">
        <v>66.72</v>
      </c>
      <c r="M1926" s="110">
        <f>IF(L1926="",I1926,(MIN(J1926,(L1926*1.6*J1926))))</f>
        <v>788</v>
      </c>
      <c r="N1926" s="111">
        <f>IF(M1926=0,0,(M1926/J1926))</f>
        <v>1</v>
      </c>
    </row>
    <row r="1927" spans="2:14">
      <c r="B1927" s="72">
        <v>127868</v>
      </c>
      <c r="C1927" s="47" t="s">
        <v>927</v>
      </c>
      <c r="D1927" s="123">
        <f>SUMIF(B$3:B$3844,B1927,M$3:M$3844)/(SUMIF(B$3:B$3844,B1927,J$3:J$3844))</f>
        <v>0.8240543389155639</v>
      </c>
      <c r="E1927" s="47">
        <v>38604</v>
      </c>
      <c r="F1927" s="48" t="str">
        <f>"HARBOUR VIEW ELEMENTARY SCHOOL"</f>
        <v>HARBOUR VIEW ELEMENTARY SCHOOL</v>
      </c>
      <c r="G1927" s="47"/>
      <c r="H1927" s="47"/>
      <c r="I1927" s="40"/>
      <c r="J1927" s="40">
        <v>787</v>
      </c>
      <c r="K1927" s="20">
        <v>2014</v>
      </c>
      <c r="L1927" s="20">
        <v>66.72</v>
      </c>
      <c r="M1927" s="110">
        <f>IF(L1927="",I1927,(MIN(J1927,(L1927*1.6*J1927))))</f>
        <v>787</v>
      </c>
      <c r="N1927" s="111">
        <f>IF(M1927=0,0,(M1927/J1927))</f>
        <v>1</v>
      </c>
    </row>
    <row r="1928" spans="2:14">
      <c r="B1928" s="73">
        <v>127868</v>
      </c>
      <c r="C1928" s="23" t="s">
        <v>927</v>
      </c>
      <c r="D1928" s="123">
        <f>SUMIF(B$3:B$3844,B1928,M$3:M$3844)/(SUMIF(B$3:B$3844,B1928,J$3:J$3844))</f>
        <v>0.8240543389155639</v>
      </c>
      <c r="E1928" s="23">
        <v>38574</v>
      </c>
      <c r="F1928" s="46" t="str">
        <f>"HILLCREST"</f>
        <v>HILLCREST</v>
      </c>
      <c r="G1928" s="23"/>
      <c r="H1928" s="23"/>
      <c r="I1928" s="41">
        <v>128</v>
      </c>
      <c r="J1928" s="41">
        <v>177</v>
      </c>
      <c r="K1928" s="20"/>
      <c r="L1928" s="20"/>
      <c r="M1928" s="110">
        <f>IF(L1928="",I1928,(MIN(J1928,(L1928*1.6*J1928))))</f>
        <v>128</v>
      </c>
      <c r="N1928" s="111">
        <f>IF(M1928=0,0,(M1928/J1928))</f>
        <v>0.7231638418079096</v>
      </c>
    </row>
    <row r="1929" spans="2:14">
      <c r="B1929" s="72">
        <v>127868</v>
      </c>
      <c r="C1929" s="47" t="s">
        <v>927</v>
      </c>
      <c r="D1929" s="123">
        <f>SUMIF(B$3:B$3844,B1929,M$3:M$3844)/(SUMIF(B$3:B$3844,B1929,J$3:J$3844))</f>
        <v>0.8240543389155639</v>
      </c>
      <c r="E1929" s="47">
        <v>16044495</v>
      </c>
      <c r="F1929" s="48" t="str">
        <f>"HORIZON ACADEMY AT MARION OAKS"</f>
        <v>HORIZON ACADEMY AT MARION OAKS</v>
      </c>
      <c r="G1929" s="47"/>
      <c r="H1929" s="47"/>
      <c r="I1929" s="40">
        <v>679</v>
      </c>
      <c r="J1929" s="40">
        <v>781</v>
      </c>
      <c r="K1929" s="20"/>
      <c r="L1929" s="20"/>
      <c r="M1929" s="110">
        <f>IF(L1929="",I1929,(MIN(J1929,(L1929*1.6*J1929))))</f>
        <v>679</v>
      </c>
      <c r="N1929" s="111">
        <f>IF(M1929=0,0,(M1929/J1929))</f>
        <v>0.86939820742637641</v>
      </c>
    </row>
    <row r="1930" spans="2:14">
      <c r="B1930" s="73">
        <v>127868</v>
      </c>
      <c r="C1930" s="23" t="s">
        <v>927</v>
      </c>
      <c r="D1930" s="123">
        <f>SUMIF(B$3:B$3844,B1930,M$3:M$3844)/(SUMIF(B$3:B$3844,B1930,J$3:J$3844))</f>
        <v>0.8240543389155639</v>
      </c>
      <c r="E1930" s="23">
        <v>38591</v>
      </c>
      <c r="F1930" s="46" t="str">
        <f>"HOWARD MIDDLE SCHOOL"</f>
        <v>HOWARD MIDDLE SCHOOL</v>
      </c>
      <c r="G1930" s="23"/>
      <c r="H1930" s="23"/>
      <c r="I1930" s="41">
        <v>715</v>
      </c>
      <c r="J1930" s="41">
        <v>1157</v>
      </c>
      <c r="K1930" s="20"/>
      <c r="L1930" s="20"/>
      <c r="M1930" s="110">
        <f>IF(L1930="",I1930,(MIN(J1930,(L1930*1.6*J1930))))</f>
        <v>715</v>
      </c>
      <c r="N1930" s="111">
        <f>IF(M1930=0,0,(M1930/J1930))</f>
        <v>0.6179775280898876</v>
      </c>
    </row>
    <row r="1931" spans="2:14" ht="30">
      <c r="B1931" s="72">
        <v>127868</v>
      </c>
      <c r="C1931" s="47" t="s">
        <v>927</v>
      </c>
      <c r="D1931" s="123">
        <f>SUMIF(B$3:B$3844,B1931,M$3:M$3844)/(SUMIF(B$3:B$3844,B1931,J$3:J$3844))</f>
        <v>0.8240543389155639</v>
      </c>
      <c r="E1931" s="47">
        <v>16028726</v>
      </c>
      <c r="F1931" s="48" t="s">
        <v>913</v>
      </c>
      <c r="G1931" s="47"/>
      <c r="H1931" s="47"/>
      <c r="I1931" s="40">
        <v>95</v>
      </c>
      <c r="J1931" s="40">
        <v>107</v>
      </c>
      <c r="K1931" s="20"/>
      <c r="L1931" s="20"/>
      <c r="M1931" s="110">
        <f>IF(L1931="",I1931,(MIN(J1931,(L1931*1.6*J1931))))</f>
        <v>95</v>
      </c>
      <c r="N1931" s="111">
        <f>IF(M1931=0,0,(M1931/J1931))</f>
        <v>0.88785046728971961</v>
      </c>
    </row>
    <row r="1932" spans="2:14">
      <c r="B1932" s="73">
        <v>127868</v>
      </c>
      <c r="C1932" s="23" t="s">
        <v>927</v>
      </c>
      <c r="D1932" s="123">
        <f>SUMIF(B$3:B$3844,B1932,M$3:M$3844)/(SUMIF(B$3:B$3844,B1932,J$3:J$3844))</f>
        <v>0.8240543389155639</v>
      </c>
      <c r="E1932" s="23">
        <v>38579</v>
      </c>
      <c r="F1932" s="46" t="str">
        <f>"LAKE WEIR HIGH SCHOOL"</f>
        <v>LAKE WEIR HIGH SCHOOL</v>
      </c>
      <c r="G1932" s="23"/>
      <c r="H1932" s="23"/>
      <c r="I1932" s="41">
        <v>1234</v>
      </c>
      <c r="J1932" s="41">
        <v>1660</v>
      </c>
      <c r="K1932" s="20"/>
      <c r="L1932" s="20"/>
      <c r="M1932" s="110">
        <f>IF(L1932="",I1932,(MIN(J1932,(L1932*1.6*J1932))))</f>
        <v>1234</v>
      </c>
      <c r="N1932" s="111">
        <f>IF(M1932=0,0,(M1932/J1932))</f>
        <v>0.74337349397590358</v>
      </c>
    </row>
    <row r="1933" spans="2:14">
      <c r="B1933" s="72">
        <v>127868</v>
      </c>
      <c r="C1933" s="47" t="s">
        <v>927</v>
      </c>
      <c r="D1933" s="123">
        <f>SUMIF(B$3:B$3844,B1933,M$3:M$3844)/(SUMIF(B$3:B$3844,B1933,J$3:J$3844))</f>
        <v>0.8240543389155639</v>
      </c>
      <c r="E1933" s="47">
        <v>38605</v>
      </c>
      <c r="F1933" s="48" t="str">
        <f>"LAKE WEIR MIDDLE SCHOOL"</f>
        <v>LAKE WEIR MIDDLE SCHOOL</v>
      </c>
      <c r="G1933" s="47"/>
      <c r="H1933" s="47"/>
      <c r="I1933" s="40">
        <v>979</v>
      </c>
      <c r="J1933" s="40">
        <v>1199</v>
      </c>
      <c r="K1933" s="20"/>
      <c r="L1933" s="20"/>
      <c r="M1933" s="110">
        <f>IF(L1933="",I1933,(MIN(J1933,(L1933*1.6*J1933))))</f>
        <v>979</v>
      </c>
      <c r="N1933" s="111">
        <f>IF(M1933=0,0,(M1933/J1933))</f>
        <v>0.8165137614678899</v>
      </c>
    </row>
    <row r="1934" spans="2:14">
      <c r="B1934" s="73">
        <v>127868</v>
      </c>
      <c r="C1934" s="23" t="s">
        <v>927</v>
      </c>
      <c r="D1934" s="123">
        <f>SUMIF(B$3:B$3844,B1934,M$3:M$3844)/(SUMIF(B$3:B$3844,B1934,J$3:J$3844))</f>
        <v>0.8240543389155639</v>
      </c>
      <c r="E1934" s="23">
        <v>16038729</v>
      </c>
      <c r="F1934" s="46" t="str">
        <f>"LEGACY ELEMENTARY SCHOOL"</f>
        <v>LEGACY ELEMENTARY SCHOOL</v>
      </c>
      <c r="G1934" s="23"/>
      <c r="H1934" s="23"/>
      <c r="I1934" s="41"/>
      <c r="J1934" s="41">
        <v>726</v>
      </c>
      <c r="K1934" s="20">
        <v>2014</v>
      </c>
      <c r="L1934" s="20">
        <v>66.72</v>
      </c>
      <c r="M1934" s="110">
        <f>IF(L1934="",I1934,(MIN(J1934,(L1934*1.6*J1934))))</f>
        <v>726</v>
      </c>
      <c r="N1934" s="111">
        <f>IF(M1934=0,0,(M1934/J1934))</f>
        <v>1</v>
      </c>
    </row>
    <row r="1935" spans="2:14">
      <c r="B1935" s="72">
        <v>127868</v>
      </c>
      <c r="C1935" s="47" t="s">
        <v>927</v>
      </c>
      <c r="D1935" s="123">
        <f>SUMIF(B$3:B$3844,B1935,M$3:M$3844)/(SUMIF(B$3:B$3844,B1935,J$3:J$3844))</f>
        <v>0.8240543389155639</v>
      </c>
      <c r="E1935" s="47">
        <v>16038729</v>
      </c>
      <c r="F1935" s="48" t="str">
        <f>"LIBERTY MIDDLE SCHOOL"</f>
        <v>LIBERTY MIDDLE SCHOOL</v>
      </c>
      <c r="G1935" s="47"/>
      <c r="H1935" s="47"/>
      <c r="I1935" s="40">
        <v>756</v>
      </c>
      <c r="J1935" s="40">
        <v>1112</v>
      </c>
      <c r="K1935" s="20"/>
      <c r="L1935" s="20"/>
      <c r="M1935" s="110">
        <f>IF(L1935="",I1935,(MIN(J1935,(L1935*1.6*J1935))))</f>
        <v>756</v>
      </c>
      <c r="N1935" s="111">
        <f>IF(M1935=0,0,(M1935/J1935))</f>
        <v>0.67985611510791366</v>
      </c>
    </row>
    <row r="1936" spans="2:14" ht="30">
      <c r="B1936" s="73">
        <v>127868</v>
      </c>
      <c r="C1936" s="23" t="s">
        <v>927</v>
      </c>
      <c r="D1936" s="123">
        <f>SUMIF(B$3:B$3844,B1936,M$3:M$3844)/(SUMIF(B$3:B$3844,B1936,J$3:J$3844))</f>
        <v>0.8240543389155639</v>
      </c>
      <c r="E1936" s="23">
        <v>38593</v>
      </c>
      <c r="F1936" s="46" t="s">
        <v>914</v>
      </c>
      <c r="G1936" s="23"/>
      <c r="H1936" s="23"/>
      <c r="I1936" s="41"/>
      <c r="J1936" s="41">
        <v>429</v>
      </c>
      <c r="K1936" s="20">
        <v>2014</v>
      </c>
      <c r="L1936" s="20">
        <v>66.72</v>
      </c>
      <c r="M1936" s="110">
        <f>IF(L1936="",I1936,(MIN(J1936,(L1936*1.6*J1936))))</f>
        <v>429</v>
      </c>
      <c r="N1936" s="111">
        <f>IF(M1936=0,0,(M1936/J1936))</f>
        <v>1</v>
      </c>
    </row>
    <row r="1937" spans="2:14">
      <c r="B1937" s="72">
        <v>127868</v>
      </c>
      <c r="C1937" s="47" t="s">
        <v>927</v>
      </c>
      <c r="D1937" s="123">
        <f>SUMIF(B$3:B$3844,B1937,M$3:M$3844)/(SUMIF(B$3:B$3844,B1937,J$3:J$3844))</f>
        <v>0.8240543389155639</v>
      </c>
      <c r="E1937" s="47">
        <v>38577</v>
      </c>
      <c r="F1937" s="48" t="str">
        <f>"MAPLEWOOD ELEMENTARY SCHOOL"</f>
        <v>MAPLEWOOD ELEMENTARY SCHOOL</v>
      </c>
      <c r="G1937" s="47"/>
      <c r="H1937" s="47"/>
      <c r="I1937" s="40"/>
      <c r="J1937" s="40">
        <v>747</v>
      </c>
      <c r="K1937" s="20">
        <v>2014</v>
      </c>
      <c r="L1937" s="20">
        <v>66.72</v>
      </c>
      <c r="M1937" s="110">
        <f>IF(L1937="",I1937,(MIN(J1937,(L1937*1.6*J1937))))</f>
        <v>747</v>
      </c>
      <c r="N1937" s="111">
        <f>IF(M1937=0,0,(M1937/J1937))</f>
        <v>1</v>
      </c>
    </row>
    <row r="1938" spans="2:14">
      <c r="B1938" s="73">
        <v>127868</v>
      </c>
      <c r="C1938" s="23" t="s">
        <v>927</v>
      </c>
      <c r="D1938" s="123">
        <f>SUMIF(B$3:B$3844,B1938,M$3:M$3844)/(SUMIF(B$3:B$3844,B1938,J$3:J$3844))</f>
        <v>0.8240543389155639</v>
      </c>
      <c r="E1938" s="23">
        <v>16082826</v>
      </c>
      <c r="F1938" s="46" t="str">
        <f>"MARION CHARTER SCHOOL"</f>
        <v>MARION CHARTER SCHOOL</v>
      </c>
      <c r="G1938" s="23"/>
      <c r="H1938" s="23"/>
      <c r="I1938" s="41"/>
      <c r="J1938" s="41">
        <v>210</v>
      </c>
      <c r="K1938" s="20">
        <v>2014</v>
      </c>
      <c r="L1938" s="20">
        <v>66.72</v>
      </c>
      <c r="M1938" s="110">
        <f>IF(L1938="",I1938,(MIN(J1938,(L1938*1.6*J1938))))</f>
        <v>210</v>
      </c>
      <c r="N1938" s="111">
        <f>IF(M1938=0,0,(M1938/J1938))</f>
        <v>1</v>
      </c>
    </row>
    <row r="1939" spans="2:14">
      <c r="B1939" s="72">
        <v>127868</v>
      </c>
      <c r="C1939" s="47" t="s">
        <v>927</v>
      </c>
      <c r="D1939" s="123">
        <f>SUMIF(B$3:B$3844,B1939,M$3:M$3844)/(SUMIF(B$3:B$3844,B1939,J$3:J$3844))</f>
        <v>0.8240543389155639</v>
      </c>
      <c r="E1939" s="47">
        <v>16027947</v>
      </c>
      <c r="F1939" s="48" t="str">
        <f>"MARION DISTRICT OFFICE"</f>
        <v>MARION DISTRICT OFFICE</v>
      </c>
      <c r="G1939" s="47"/>
      <c r="H1939" s="47"/>
      <c r="I1939" s="40"/>
      <c r="J1939" s="40" t="str">
        <f>"0"</f>
        <v>0</v>
      </c>
      <c r="K1939" s="20"/>
      <c r="L1939" s="20"/>
      <c r="M1939" s="110">
        <f>IF(L1939="",I1939,(MIN(J1939,(L1939*1.6*J1939))))</f>
        <v>0</v>
      </c>
      <c r="N1939" s="111">
        <f>IF(M1939=0,0,(M1939/J1939))</f>
        <v>0</v>
      </c>
    </row>
    <row r="1940" spans="2:14">
      <c r="B1940" s="73">
        <v>127868</v>
      </c>
      <c r="C1940" s="23" t="s">
        <v>927</v>
      </c>
      <c r="D1940" s="123">
        <f>SUMIF(B$3:B$3844,B1940,M$3:M$3844)/(SUMIF(B$3:B$3844,B1940,J$3:J$3844))</f>
        <v>0.8240543389155639</v>
      </c>
      <c r="E1940" s="23">
        <v>16082828</v>
      </c>
      <c r="F1940" s="46" t="str">
        <f>"MARION ELEARNING"</f>
        <v>MARION ELEARNING</v>
      </c>
      <c r="G1940" s="23"/>
      <c r="H1940" s="23"/>
      <c r="I1940" s="41">
        <v>7</v>
      </c>
      <c r="J1940" s="41">
        <v>40</v>
      </c>
      <c r="K1940" s="20"/>
      <c r="L1940" s="20"/>
      <c r="M1940" s="110">
        <f>IF(L1940="",I1940,(MIN(J1940,(L1940*1.6*J1940))))</f>
        <v>7</v>
      </c>
      <c r="N1940" s="111">
        <f>IF(M1940=0,0,(M1940/J1940))</f>
        <v>0.17499999999999999</v>
      </c>
    </row>
    <row r="1941" spans="2:14">
      <c r="B1941" s="72">
        <v>127868</v>
      </c>
      <c r="C1941" s="47" t="s">
        <v>927</v>
      </c>
      <c r="D1941" s="123">
        <f>SUMIF(B$3:B$3844,B1941,M$3:M$3844)/(SUMIF(B$3:B$3844,B1941,J$3:J$3844))</f>
        <v>0.8240543389155639</v>
      </c>
      <c r="E1941" s="47">
        <v>16058513</v>
      </c>
      <c r="F1941" s="48" t="str">
        <f>"MARION OAKS ELEMENTARY SCHOOL"</f>
        <v>MARION OAKS ELEMENTARY SCHOOL</v>
      </c>
      <c r="G1941" s="47"/>
      <c r="H1941" s="47"/>
      <c r="I1941" s="40"/>
      <c r="J1941" s="40">
        <v>879</v>
      </c>
      <c r="K1941" s="20">
        <v>2014</v>
      </c>
      <c r="L1941" s="20">
        <v>66.72</v>
      </c>
      <c r="M1941" s="110">
        <f>IF(L1941="",I1941,(MIN(J1941,(L1941*1.6*J1941))))</f>
        <v>879</v>
      </c>
      <c r="N1941" s="111">
        <f>IF(M1941=0,0,(M1941/J1941))</f>
        <v>1</v>
      </c>
    </row>
    <row r="1942" spans="2:14">
      <c r="B1942" s="73">
        <v>127868</v>
      </c>
      <c r="C1942" s="23" t="s">
        <v>927</v>
      </c>
      <c r="D1942" s="123">
        <f>SUMIF(B$3:B$3844,B1942,M$3:M$3844)/(SUMIF(B$3:B$3844,B1942,J$3:J$3844))</f>
        <v>0.8240543389155639</v>
      </c>
      <c r="E1942" s="23">
        <v>228342</v>
      </c>
      <c r="F1942" s="46" t="s">
        <v>915</v>
      </c>
      <c r="G1942" s="23"/>
      <c r="H1942" s="23"/>
      <c r="I1942" s="41">
        <v>7</v>
      </c>
      <c r="J1942" s="41">
        <v>28</v>
      </c>
      <c r="K1942" s="20"/>
      <c r="L1942" s="20"/>
      <c r="M1942" s="110">
        <f>IF(L1942="",I1942,(MIN(J1942,(L1942*1.6*J1942))))</f>
        <v>7</v>
      </c>
      <c r="N1942" s="111">
        <f>IF(M1942=0,0,(M1942/J1942))</f>
        <v>0.25</v>
      </c>
    </row>
    <row r="1943" spans="2:14">
      <c r="B1943" s="72">
        <v>127868</v>
      </c>
      <c r="C1943" s="47" t="s">
        <v>927</v>
      </c>
      <c r="D1943" s="123">
        <f>SUMIF(B$3:B$3844,B1943,M$3:M$3844)/(SUMIF(B$3:B$3844,B1943,J$3:J$3844))</f>
        <v>0.8240543389155639</v>
      </c>
      <c r="E1943" s="47">
        <v>16027834</v>
      </c>
      <c r="F1943" s="48" t="str">
        <f>"MARION TECHNICAL INSTITUTE"</f>
        <v>MARION TECHNICAL INSTITUTE</v>
      </c>
      <c r="G1943" s="47"/>
      <c r="H1943" s="47"/>
      <c r="I1943" s="40"/>
      <c r="J1943" s="40" t="s">
        <v>798</v>
      </c>
      <c r="K1943" s="20"/>
      <c r="L1943" s="20"/>
      <c r="M1943" s="110">
        <f>IF(L1943="",I1943,(MIN(J1943,(L1943*1.6*J1943))))</f>
        <v>0</v>
      </c>
      <c r="N1943" s="111">
        <f>IF(M1943=0,0,(M1943/J1943))</f>
        <v>0</v>
      </c>
    </row>
    <row r="1944" spans="2:14">
      <c r="B1944" s="73">
        <v>127868</v>
      </c>
      <c r="C1944" s="23" t="s">
        <v>927</v>
      </c>
      <c r="D1944" s="123">
        <f>SUMIF(B$3:B$3844,B1944,M$3:M$3844)/(SUMIF(B$3:B$3844,B1944,J$3:J$3844))</f>
        <v>0.8240543389155639</v>
      </c>
      <c r="E1944" s="23">
        <v>228341</v>
      </c>
      <c r="F1944" s="46" t="str">
        <f>"MARION YOUTH ACADEMY"</f>
        <v>MARION YOUTH ACADEMY</v>
      </c>
      <c r="G1944" s="23"/>
      <c r="H1944" s="23"/>
      <c r="I1944" s="41">
        <v>4</v>
      </c>
      <c r="J1944" s="41">
        <v>38</v>
      </c>
      <c r="K1944" s="20"/>
      <c r="L1944" s="20"/>
      <c r="M1944" s="110">
        <f>IF(L1944="",I1944,(MIN(J1944,(L1944*1.6*J1944))))</f>
        <v>4</v>
      </c>
      <c r="N1944" s="111">
        <f>IF(M1944=0,0,(M1944/J1944))</f>
        <v>0.10526315789473684</v>
      </c>
    </row>
    <row r="1945" spans="2:14">
      <c r="B1945" s="72">
        <v>127868</v>
      </c>
      <c r="C1945" s="47" t="s">
        <v>927</v>
      </c>
      <c r="D1945" s="123">
        <f>SUMIF(B$3:B$3844,B1945,M$3:M$3844)/(SUMIF(B$3:B$3844,B1945,J$3:J$3844))</f>
        <v>0.8240543389155639</v>
      </c>
      <c r="E1945" s="47">
        <v>16082831</v>
      </c>
      <c r="F1945" s="48" t="str">
        <f>"MCINTOSH AREA SCHOOL"</f>
        <v>MCINTOSH AREA SCHOOL</v>
      </c>
      <c r="G1945" s="47"/>
      <c r="H1945" s="47"/>
      <c r="I1945" s="40"/>
      <c r="J1945" s="40">
        <v>76</v>
      </c>
      <c r="K1945" s="20">
        <v>2014</v>
      </c>
      <c r="L1945" s="20">
        <v>66.72</v>
      </c>
      <c r="M1945" s="110">
        <f>IF(L1945="",I1945,(MIN(J1945,(L1945*1.6*J1945))))</f>
        <v>76</v>
      </c>
      <c r="N1945" s="111">
        <f>IF(M1945=0,0,(M1945/J1945))</f>
        <v>1</v>
      </c>
    </row>
    <row r="1946" spans="2:14">
      <c r="B1946" s="73">
        <v>127868</v>
      </c>
      <c r="C1946" s="23" t="s">
        <v>927</v>
      </c>
      <c r="D1946" s="123">
        <f>SUMIF(B$3:B$3844,B1946,M$3:M$3844)/(SUMIF(B$3:B$3844,B1946,J$3:J$3844))</f>
        <v>0.8240543389155639</v>
      </c>
      <c r="E1946" s="23">
        <v>16082834</v>
      </c>
      <c r="F1946" s="46" t="s">
        <v>916</v>
      </c>
      <c r="G1946" s="23"/>
      <c r="H1946" s="23"/>
      <c r="I1946" s="41">
        <v>13</v>
      </c>
      <c r="J1946" s="41">
        <v>16</v>
      </c>
      <c r="K1946" s="20"/>
      <c r="L1946" s="20"/>
      <c r="M1946" s="110">
        <f>IF(L1946="",I1946,(MIN(J1946,(L1946*1.6*J1946))))</f>
        <v>13</v>
      </c>
      <c r="N1946" s="111">
        <f>IF(M1946=0,0,(M1946/J1946))</f>
        <v>0.8125</v>
      </c>
    </row>
    <row r="1947" spans="2:14">
      <c r="B1947" s="72">
        <v>127868</v>
      </c>
      <c r="C1947" s="47" t="s">
        <v>927</v>
      </c>
      <c r="D1947" s="123">
        <f>SUMIF(B$3:B$3844,B1947,M$3:M$3844)/(SUMIF(B$3:B$3844,B1947,J$3:J$3844))</f>
        <v>0.8240543389155639</v>
      </c>
      <c r="E1947" s="47">
        <v>16082835</v>
      </c>
      <c r="F1947" s="48" t="str">
        <f>"MCSO JUVENILES"</f>
        <v>MCSO JUVENILES</v>
      </c>
      <c r="G1947" s="47"/>
      <c r="H1947" s="47"/>
      <c r="I1947" s="40"/>
      <c r="J1947" s="40" t="s">
        <v>798</v>
      </c>
      <c r="K1947" s="20"/>
      <c r="L1947" s="20"/>
      <c r="M1947" s="110">
        <f>IF(L1947="",I1947,(MIN(J1947,(L1947*1.6*J1947))))</f>
        <v>0</v>
      </c>
      <c r="N1947" s="111">
        <f>IF(M1947=0,0,(M1947/J1947))</f>
        <v>0</v>
      </c>
    </row>
    <row r="1948" spans="2:14">
      <c r="B1948" s="73">
        <v>127868</v>
      </c>
      <c r="C1948" s="23" t="s">
        <v>927</v>
      </c>
      <c r="D1948" s="123">
        <f>SUMIF(B$3:B$3844,B1948,M$3:M$3844)/(SUMIF(B$3:B$3844,B1948,J$3:J$3844))</f>
        <v>0.8240543389155639</v>
      </c>
      <c r="E1948" s="23">
        <v>34898</v>
      </c>
      <c r="F1948" s="46" t="s">
        <v>917</v>
      </c>
      <c r="G1948" s="23"/>
      <c r="H1948" s="23"/>
      <c r="I1948" s="41">
        <v>971</v>
      </c>
      <c r="J1948" s="41">
        <v>1387</v>
      </c>
      <c r="K1948" s="20"/>
      <c r="L1948" s="20"/>
      <c r="M1948" s="110">
        <f>IF(L1948="",I1948,(MIN(J1948,(L1948*1.6*J1948))))</f>
        <v>971</v>
      </c>
      <c r="N1948" s="111">
        <f>IF(M1948=0,0,(M1948/J1948))</f>
        <v>0.70007209805335258</v>
      </c>
    </row>
    <row r="1949" spans="2:14">
      <c r="B1949" s="72">
        <v>127868</v>
      </c>
      <c r="C1949" s="47" t="s">
        <v>927</v>
      </c>
      <c r="D1949" s="123">
        <f>SUMIF(B$3:B$3844,B1949,M$3:M$3844)/(SUMIF(B$3:B$3844,B1949,J$3:J$3844))</f>
        <v>0.8240543389155639</v>
      </c>
      <c r="E1949" s="47">
        <v>34897</v>
      </c>
      <c r="F1949" s="48" t="str">
        <f>"NORTH MARION MIDDLE SCHOOL"</f>
        <v>NORTH MARION MIDDLE SCHOOL</v>
      </c>
      <c r="G1949" s="47"/>
      <c r="H1949" s="47"/>
      <c r="I1949" s="40">
        <v>682</v>
      </c>
      <c r="J1949" s="40">
        <v>826</v>
      </c>
      <c r="K1949" s="20"/>
      <c r="L1949" s="20"/>
      <c r="M1949" s="110">
        <f>IF(L1949="",I1949,(MIN(J1949,(L1949*1.6*J1949))))</f>
        <v>682</v>
      </c>
      <c r="N1949" s="111">
        <f>IF(M1949=0,0,(M1949/J1949))</f>
        <v>0.82566585956416461</v>
      </c>
    </row>
    <row r="1950" spans="2:14">
      <c r="B1950" s="73">
        <v>127868</v>
      </c>
      <c r="C1950" s="23" t="s">
        <v>927</v>
      </c>
      <c r="D1950" s="123">
        <f>SUMIF(B$3:B$3844,B1950,M$3:M$3844)/(SUMIF(B$3:B$3844,B1950,J$3:J$3844))</f>
        <v>0.8240543389155639</v>
      </c>
      <c r="E1950" s="23">
        <v>38561</v>
      </c>
      <c r="F1950" s="46" t="str">
        <f>"OAKCREST ELEMENTARY SCHOOL"</f>
        <v>OAKCREST ELEMENTARY SCHOOL</v>
      </c>
      <c r="G1950" s="23"/>
      <c r="H1950" s="23"/>
      <c r="I1950" s="41"/>
      <c r="J1950" s="41">
        <v>781</v>
      </c>
      <c r="K1950" s="20">
        <v>2014</v>
      </c>
      <c r="L1950" s="20">
        <v>66.72</v>
      </c>
      <c r="M1950" s="110">
        <f>IF(L1950="",I1950,(MIN(J1950,(L1950*1.6*J1950))))</f>
        <v>781</v>
      </c>
      <c r="N1950" s="111">
        <f>IF(M1950=0,0,(M1950/J1950))</f>
        <v>1</v>
      </c>
    </row>
    <row r="1951" spans="2:14">
      <c r="B1951" s="72">
        <v>127868</v>
      </c>
      <c r="C1951" s="47" t="s">
        <v>927</v>
      </c>
      <c r="D1951" s="123">
        <f>SUMIF(B$3:B$3844,B1951,M$3:M$3844)/(SUMIF(B$3:B$3844,B1951,J$3:J$3844))</f>
        <v>0.8240543389155639</v>
      </c>
      <c r="E1951" s="47">
        <v>38596</v>
      </c>
      <c r="F1951" s="48" t="s">
        <v>918</v>
      </c>
      <c r="G1951" s="47"/>
      <c r="H1951" s="47"/>
      <c r="I1951" s="40"/>
      <c r="J1951" s="40">
        <v>605</v>
      </c>
      <c r="K1951" s="20">
        <v>2014</v>
      </c>
      <c r="L1951" s="20">
        <v>66.72</v>
      </c>
      <c r="M1951" s="110">
        <f>IF(L1951="",I1951,(MIN(J1951,(L1951*1.6*J1951))))</f>
        <v>605</v>
      </c>
      <c r="N1951" s="111">
        <f>IF(M1951=0,0,(M1951/J1951))</f>
        <v>1</v>
      </c>
    </row>
    <row r="1952" spans="2:14">
      <c r="B1952" s="73">
        <v>127868</v>
      </c>
      <c r="C1952" s="23" t="s">
        <v>927</v>
      </c>
      <c r="D1952" s="123">
        <f>SUMIF(B$3:B$3844,B1952,M$3:M$3844)/(SUMIF(B$3:B$3844,B1952,J$3:J$3844))</f>
        <v>0.8240543389155639</v>
      </c>
      <c r="E1952" s="23">
        <v>38569</v>
      </c>
      <c r="F1952" s="46" t="str">
        <f>"OSCEOLA MIDDLE SCHOOL"</f>
        <v>OSCEOLA MIDDLE SCHOOL</v>
      </c>
      <c r="G1952" s="23"/>
      <c r="H1952" s="23"/>
      <c r="I1952" s="41">
        <v>409</v>
      </c>
      <c r="J1952" s="41">
        <v>884</v>
      </c>
      <c r="K1952" s="20"/>
      <c r="L1952" s="20"/>
      <c r="M1952" s="110">
        <f>IF(L1952="",I1952,(MIN(J1952,(L1952*1.6*J1952))))</f>
        <v>409</v>
      </c>
      <c r="N1952" s="111">
        <f>IF(M1952=0,0,(M1952/J1952))</f>
        <v>0.46266968325791857</v>
      </c>
    </row>
    <row r="1953" spans="2:14">
      <c r="B1953" s="72">
        <v>127868</v>
      </c>
      <c r="C1953" s="47" t="s">
        <v>927</v>
      </c>
      <c r="D1953" s="123">
        <f>SUMIF(B$3:B$3844,B1953,M$3:M$3844)/(SUMIF(B$3:B$3844,B1953,J$3:J$3844))</f>
        <v>0.8240543389155639</v>
      </c>
      <c r="E1953" s="47">
        <v>228344</v>
      </c>
      <c r="F1953" s="48" t="str">
        <f>"PACE CENTER FOR GIRLS, INC."</f>
        <v>PACE CENTER FOR GIRLS, INC.</v>
      </c>
      <c r="G1953" s="47"/>
      <c r="H1953" s="47"/>
      <c r="I1953" s="40"/>
      <c r="J1953" s="40">
        <v>56</v>
      </c>
      <c r="K1953" s="20"/>
      <c r="L1953" s="20"/>
      <c r="M1953" s="110">
        <f>IF(L1953="",I1953,(MIN(J1953,(L1953*1.6*J1953))))</f>
        <v>0</v>
      </c>
      <c r="N1953" s="111">
        <f>IF(M1953=0,0,(M1953/J1953))</f>
        <v>0</v>
      </c>
    </row>
    <row r="1954" spans="2:14">
      <c r="B1954" s="73">
        <v>127868</v>
      </c>
      <c r="C1954" s="23" t="s">
        <v>927</v>
      </c>
      <c r="D1954" s="123">
        <f>SUMIF(B$3:B$3844,B1954,M$3:M$3844)/(SUMIF(B$3:B$3844,B1954,J$3:J$3844))</f>
        <v>0.8240543389155639</v>
      </c>
      <c r="E1954" s="23">
        <v>16082836</v>
      </c>
      <c r="F1954" s="46" t="s">
        <v>920</v>
      </c>
      <c r="G1954" s="23"/>
      <c r="H1954" s="23"/>
      <c r="I1954" s="41"/>
      <c r="J1954" s="41">
        <v>54</v>
      </c>
      <c r="K1954" s="20"/>
      <c r="L1954" s="20"/>
      <c r="M1954" s="110">
        <f>IF(L1954="",I1954,(MIN(J1954,(L1954*1.6*J1954))))</f>
        <v>0</v>
      </c>
      <c r="N1954" s="111">
        <f>IF(M1954=0,0,(M1954/J1954))</f>
        <v>0</v>
      </c>
    </row>
    <row r="1955" spans="2:14">
      <c r="B1955" s="72">
        <v>127868</v>
      </c>
      <c r="C1955" s="47" t="s">
        <v>927</v>
      </c>
      <c r="D1955" s="123">
        <f>SUMIF(B$3:B$3844,B1955,M$3:M$3844)/(SUMIF(B$3:B$3844,B1955,J$3:J$3844))</f>
        <v>0.8240543389155639</v>
      </c>
      <c r="E1955" s="47">
        <v>35770</v>
      </c>
      <c r="F1955" s="48" t="s">
        <v>921</v>
      </c>
      <c r="G1955" s="47"/>
      <c r="H1955" s="47"/>
      <c r="I1955" s="40"/>
      <c r="J1955" s="40">
        <v>327</v>
      </c>
      <c r="K1955" s="20">
        <v>2014</v>
      </c>
      <c r="L1955" s="20">
        <v>66.72</v>
      </c>
      <c r="M1955" s="110">
        <f>IF(L1955="",I1955,(MIN(J1955,(L1955*1.6*J1955))))</f>
        <v>327</v>
      </c>
      <c r="N1955" s="111">
        <f>IF(M1955=0,0,(M1955/J1955))</f>
        <v>1</v>
      </c>
    </row>
    <row r="1956" spans="2:14">
      <c r="B1956" s="73">
        <v>127868</v>
      </c>
      <c r="C1956" s="23" t="s">
        <v>927</v>
      </c>
      <c r="D1956" s="123">
        <f>SUMIF(B$3:B$3844,B1956,M$3:M$3844)/(SUMIF(B$3:B$3844,B1956,J$3:J$3844))</f>
        <v>0.8240543389155639</v>
      </c>
      <c r="E1956" s="23">
        <v>38529</v>
      </c>
      <c r="F1956" s="46" t="str">
        <f>"ROMEO ELEMENTARY SCHOOL"</f>
        <v>ROMEO ELEMENTARY SCHOOL</v>
      </c>
      <c r="G1956" s="23"/>
      <c r="H1956" s="23"/>
      <c r="I1956" s="41"/>
      <c r="J1956" s="41">
        <v>693</v>
      </c>
      <c r="K1956" s="20">
        <v>2014</v>
      </c>
      <c r="L1956" s="20">
        <v>66.72</v>
      </c>
      <c r="M1956" s="110">
        <f>IF(L1956="",I1956,(MIN(J1956,(L1956*1.6*J1956))))</f>
        <v>693</v>
      </c>
      <c r="N1956" s="111">
        <f>IF(M1956=0,0,(M1956/J1956))</f>
        <v>1</v>
      </c>
    </row>
    <row r="1957" spans="2:14">
      <c r="B1957" s="72">
        <v>127868</v>
      </c>
      <c r="C1957" s="47" t="s">
        <v>927</v>
      </c>
      <c r="D1957" s="123">
        <f>SUMIF(B$3:B$3844,B1957,M$3:M$3844)/(SUMIF(B$3:B$3844,B1957,J$3:J$3844))</f>
        <v>0.8240543389155639</v>
      </c>
      <c r="E1957" s="47">
        <v>208391</v>
      </c>
      <c r="F1957" s="48" t="str">
        <f>"SADDLEWOOD ELEMENTARY SCHOOL"</f>
        <v>SADDLEWOOD ELEMENTARY SCHOOL</v>
      </c>
      <c r="G1957" s="47"/>
      <c r="H1957" s="47"/>
      <c r="I1957" s="40"/>
      <c r="J1957" s="40">
        <v>838</v>
      </c>
      <c r="K1957" s="20">
        <v>2014</v>
      </c>
      <c r="L1957" s="20">
        <v>66.72</v>
      </c>
      <c r="M1957" s="110">
        <f>IF(L1957="",I1957,(MIN(J1957,(L1957*1.6*J1957))))</f>
        <v>838</v>
      </c>
      <c r="N1957" s="111">
        <f>IF(M1957=0,0,(M1957/J1957))</f>
        <v>1</v>
      </c>
    </row>
    <row r="1958" spans="2:14">
      <c r="B1958" s="73">
        <v>127868</v>
      </c>
      <c r="C1958" s="23" t="s">
        <v>927</v>
      </c>
      <c r="D1958" s="123">
        <f>SUMIF(B$3:B$3844,B1958,M$3:M$3844)/(SUMIF(B$3:B$3844,B1958,J$3:J$3844))</f>
        <v>0.8240543389155639</v>
      </c>
      <c r="E1958" s="23">
        <v>38589</v>
      </c>
      <c r="F1958" s="46" t="str">
        <f>"SHADY HILL ELEMENTARY SCHOOL"</f>
        <v>SHADY HILL ELEMENTARY SCHOOL</v>
      </c>
      <c r="G1958" s="23"/>
      <c r="H1958" s="23"/>
      <c r="I1958" s="41"/>
      <c r="J1958" s="41">
        <v>657</v>
      </c>
      <c r="K1958" s="20">
        <v>2014</v>
      </c>
      <c r="L1958" s="20">
        <v>66.72</v>
      </c>
      <c r="M1958" s="110">
        <f>IF(L1958="",I1958,(MIN(J1958,(L1958*1.6*J1958))))</f>
        <v>657</v>
      </c>
      <c r="N1958" s="111">
        <f>IF(M1958=0,0,(M1958/J1958))</f>
        <v>1</v>
      </c>
    </row>
    <row r="1959" spans="2:14">
      <c r="B1959" s="72">
        <v>127868</v>
      </c>
      <c r="C1959" s="47" t="s">
        <v>927</v>
      </c>
      <c r="D1959" s="123">
        <f>SUMIF(B$3:B$3844,B1959,M$3:M$3844)/(SUMIF(B$3:B$3844,B1959,J$3:J$3844))</f>
        <v>0.8240543389155639</v>
      </c>
      <c r="E1959" s="47">
        <v>152578</v>
      </c>
      <c r="F1959" s="48" t="s">
        <v>922</v>
      </c>
      <c r="G1959" s="47"/>
      <c r="H1959" s="47"/>
      <c r="I1959" s="40">
        <v>170</v>
      </c>
      <c r="J1959" s="40">
        <v>191</v>
      </c>
      <c r="K1959" s="20"/>
      <c r="L1959" s="20"/>
      <c r="M1959" s="110">
        <f>IF(L1959="",I1959,(MIN(J1959,(L1959*1.6*J1959))))</f>
        <v>170</v>
      </c>
      <c r="N1959" s="111">
        <f>IF(M1959=0,0,(M1959/J1959))</f>
        <v>0.89005235602094246</v>
      </c>
    </row>
    <row r="1960" spans="2:14">
      <c r="B1960" s="73">
        <v>127868</v>
      </c>
      <c r="C1960" s="23" t="s">
        <v>927</v>
      </c>
      <c r="D1960" s="123">
        <f>SUMIF(B$3:B$3844,B1960,M$3:M$3844)/(SUMIF(B$3:B$3844,B1960,J$3:J$3844))</f>
        <v>0.8240543389155639</v>
      </c>
      <c r="E1960" s="23">
        <v>38578</v>
      </c>
      <c r="F1960" s="46" t="str">
        <f>"SOUTH OCALA ELEMENTARY SCHOOL"</f>
        <v>SOUTH OCALA ELEMENTARY SCHOOL</v>
      </c>
      <c r="G1960" s="23"/>
      <c r="H1960" s="23"/>
      <c r="I1960" s="41"/>
      <c r="J1960" s="41">
        <v>669</v>
      </c>
      <c r="K1960" s="20">
        <v>2014</v>
      </c>
      <c r="L1960" s="20">
        <v>66.72</v>
      </c>
      <c r="M1960" s="110">
        <f>IF(L1960="",I1960,(MIN(J1960,(L1960*1.6*J1960))))</f>
        <v>669</v>
      </c>
      <c r="N1960" s="111">
        <f>IF(M1960=0,0,(M1960/J1960))</f>
        <v>1</v>
      </c>
    </row>
    <row r="1961" spans="2:14">
      <c r="B1961" s="72">
        <v>127868</v>
      </c>
      <c r="C1961" s="47" t="s">
        <v>927</v>
      </c>
      <c r="D1961" s="123">
        <f>SUMIF(B$3:B$3844,B1961,M$3:M$3844)/(SUMIF(B$3:B$3844,B1961,J$3:J$3844))</f>
        <v>0.8240543389155639</v>
      </c>
      <c r="E1961" s="47">
        <v>34991</v>
      </c>
      <c r="F1961" s="48" t="str">
        <f>"SPARR ELEMENTARY SCHOOL"</f>
        <v>SPARR ELEMENTARY SCHOOL</v>
      </c>
      <c r="G1961" s="47"/>
      <c r="H1961" s="47"/>
      <c r="I1961" s="40"/>
      <c r="J1961" s="40">
        <v>351</v>
      </c>
      <c r="K1961" s="20">
        <v>2014</v>
      </c>
      <c r="L1961" s="20">
        <v>66.72</v>
      </c>
      <c r="M1961" s="110">
        <f>IF(L1961="",I1961,(MIN(J1961,(L1961*1.6*J1961))))</f>
        <v>351</v>
      </c>
      <c r="N1961" s="111">
        <f>IF(M1961=0,0,(M1961/J1961))</f>
        <v>1</v>
      </c>
    </row>
    <row r="1962" spans="2:14">
      <c r="B1962" s="73">
        <v>127868</v>
      </c>
      <c r="C1962" s="23" t="s">
        <v>927</v>
      </c>
      <c r="D1962" s="123">
        <f>SUMIF(B$3:B$3844,B1962,M$3:M$3844)/(SUMIF(B$3:B$3844,B1962,J$3:J$3844))</f>
        <v>0.8240543389155639</v>
      </c>
      <c r="E1962" s="23">
        <v>34992</v>
      </c>
      <c r="F1962" s="46" t="s">
        <v>923</v>
      </c>
      <c r="G1962" s="23"/>
      <c r="H1962" s="23"/>
      <c r="I1962" s="41"/>
      <c r="J1962" s="41">
        <v>585</v>
      </c>
      <c r="K1962" s="20">
        <v>2014</v>
      </c>
      <c r="L1962" s="20">
        <v>66.72</v>
      </c>
      <c r="M1962" s="110">
        <f>IF(L1962="",I1962,(MIN(J1962,(L1962*1.6*J1962))))</f>
        <v>585</v>
      </c>
      <c r="N1962" s="111">
        <f>IF(M1962=0,0,(M1962/J1962))</f>
        <v>1</v>
      </c>
    </row>
    <row r="1963" spans="2:14">
      <c r="B1963" s="72">
        <v>127868</v>
      </c>
      <c r="C1963" s="47" t="s">
        <v>927</v>
      </c>
      <c r="D1963" s="123">
        <f>SUMIF(B$3:B$3844,B1963,M$3:M$3844)/(SUMIF(B$3:B$3844,B1963,J$3:J$3844))</f>
        <v>0.8240543389155639</v>
      </c>
      <c r="E1963" s="47">
        <v>38594</v>
      </c>
      <c r="F1963" s="48" t="str">
        <f>"STUDENT SERVICES/ESE"</f>
        <v>STUDENT SERVICES/ESE</v>
      </c>
      <c r="G1963" s="47"/>
      <c r="H1963" s="47"/>
      <c r="I1963" s="40">
        <v>11</v>
      </c>
      <c r="J1963" s="40">
        <v>64</v>
      </c>
      <c r="K1963" s="20"/>
      <c r="L1963" s="20"/>
      <c r="M1963" s="110">
        <f>IF(L1963="",I1963,(MIN(J1963,(L1963*1.6*J1963))))</f>
        <v>11</v>
      </c>
      <c r="N1963" s="111">
        <f>IF(M1963=0,0,(M1963/J1963))</f>
        <v>0.171875</v>
      </c>
    </row>
    <row r="1964" spans="2:14">
      <c r="B1964" s="73">
        <v>127868</v>
      </c>
      <c r="C1964" s="23" t="s">
        <v>927</v>
      </c>
      <c r="D1964" s="123">
        <f>SUMIF(B$3:B$3844,B1964,M$3:M$3844)/(SUMIF(B$3:B$3844,B1964,J$3:J$3844))</f>
        <v>0.8240543389155639</v>
      </c>
      <c r="E1964" s="23">
        <v>38583</v>
      </c>
      <c r="F1964" s="46" t="str">
        <f>"SUNRISE ELEMENTARY SCHOOL"</f>
        <v>SUNRISE ELEMENTARY SCHOOL</v>
      </c>
      <c r="G1964" s="23"/>
      <c r="H1964" s="23"/>
      <c r="I1964" s="41"/>
      <c r="J1964" s="41">
        <v>829</v>
      </c>
      <c r="K1964" s="20">
        <v>2014</v>
      </c>
      <c r="L1964" s="20">
        <v>66.72</v>
      </c>
      <c r="M1964" s="110">
        <f>IF(L1964="",I1964,(MIN(J1964,(L1964*1.6*J1964))))</f>
        <v>829</v>
      </c>
      <c r="N1964" s="111">
        <f>IF(M1964=0,0,(M1964/J1964))</f>
        <v>1</v>
      </c>
    </row>
    <row r="1965" spans="2:14">
      <c r="B1965" s="72">
        <v>127868</v>
      </c>
      <c r="C1965" s="47" t="s">
        <v>927</v>
      </c>
      <c r="D1965" s="123">
        <f>SUMIF(B$3:B$3844,B1965,M$3:M$3844)/(SUMIF(B$3:B$3844,B1965,J$3:J$3844))</f>
        <v>0.8240543389155639</v>
      </c>
      <c r="E1965" s="47">
        <v>38592</v>
      </c>
      <c r="F1965" s="48" t="s">
        <v>925</v>
      </c>
      <c r="G1965" s="47"/>
      <c r="H1965" s="47"/>
      <c r="I1965" s="40">
        <v>1025</v>
      </c>
      <c r="J1965" s="40">
        <v>1710</v>
      </c>
      <c r="K1965" s="20"/>
      <c r="L1965" s="20"/>
      <c r="M1965" s="110">
        <f>IF(L1965="",I1965,(MIN(J1965,(L1965*1.6*J1965))))</f>
        <v>1025</v>
      </c>
      <c r="N1965" s="111">
        <f>IF(M1965=0,0,(M1965/J1965))</f>
        <v>0.59941520467836262</v>
      </c>
    </row>
    <row r="1966" spans="2:14">
      <c r="B1966" s="73">
        <v>127868</v>
      </c>
      <c r="C1966" s="23" t="s">
        <v>927</v>
      </c>
      <c r="D1966" s="123">
        <f>SUMIF(B$3:B$3844,B1966,M$3:M$3844)/(SUMIF(B$3:B$3844,B1966,J$3:J$3844))</f>
        <v>0.8240543389155639</v>
      </c>
      <c r="E1966" s="23">
        <v>38568</v>
      </c>
      <c r="F1966" s="46" t="s">
        <v>926</v>
      </c>
      <c r="G1966" s="23"/>
      <c r="H1966" s="23"/>
      <c r="I1966" s="41"/>
      <c r="J1966" s="41">
        <v>846</v>
      </c>
      <c r="K1966" s="20">
        <v>2014</v>
      </c>
      <c r="L1966" s="20">
        <v>66.72</v>
      </c>
      <c r="M1966" s="110">
        <f>IF(L1966="",I1966,(MIN(J1966,(L1966*1.6*J1966))))</f>
        <v>846</v>
      </c>
      <c r="N1966" s="111">
        <f>IF(M1966=0,0,(M1966/J1966))</f>
        <v>1</v>
      </c>
    </row>
    <row r="1967" spans="2:14">
      <c r="B1967" s="72">
        <v>127868</v>
      </c>
      <c r="C1967" s="47" t="s">
        <v>927</v>
      </c>
      <c r="D1967" s="123">
        <f>SUMIF(B$3:B$3844,B1967,M$3:M$3844)/(SUMIF(B$3:B$3844,B1967,J$3:J$3844))</f>
        <v>0.8240543389155639</v>
      </c>
      <c r="E1967" s="47">
        <v>228339</v>
      </c>
      <c r="F1967" s="48" t="str">
        <f>"WEST PORT HIGH SCHOOL"</f>
        <v>WEST PORT HIGH SCHOOL</v>
      </c>
      <c r="G1967" s="47"/>
      <c r="H1967" s="47"/>
      <c r="I1967" s="40">
        <v>1667</v>
      </c>
      <c r="J1967" s="40">
        <v>2669</v>
      </c>
      <c r="K1967" s="20"/>
      <c r="L1967" s="20"/>
      <c r="M1967" s="110">
        <f>IF(L1967="",I1967,(MIN(J1967,(L1967*1.6*J1967))))</f>
        <v>1667</v>
      </c>
      <c r="N1967" s="111">
        <f>IF(M1967=0,0,(M1967/J1967))</f>
        <v>0.62457849381790931</v>
      </c>
    </row>
    <row r="1968" spans="2:14">
      <c r="B1968" s="73">
        <v>127868</v>
      </c>
      <c r="C1968" s="23" t="s">
        <v>927</v>
      </c>
      <c r="D1968" s="123">
        <f>SUMIF(B$3:B$3844,B1968,M$3:M$3844)/(SUMIF(B$3:B$3844,B1968,J$3:J$3844))</f>
        <v>0.8240543389155639</v>
      </c>
      <c r="E1968" s="23">
        <v>38563</v>
      </c>
      <c r="F1968" s="46" t="str">
        <f>"WYOMINA PARK ELEMENTARY SCHOOL"</f>
        <v>WYOMINA PARK ELEMENTARY SCHOOL</v>
      </c>
      <c r="G1968" s="23"/>
      <c r="H1968" s="23"/>
      <c r="I1968" s="41"/>
      <c r="J1968" s="41">
        <v>625</v>
      </c>
      <c r="K1968" s="20">
        <v>2014</v>
      </c>
      <c r="L1968" s="20">
        <v>66.72</v>
      </c>
      <c r="M1968" s="110">
        <f>IF(L1968="",I1968,(MIN(J1968,(L1968*1.6*J1968))))</f>
        <v>625</v>
      </c>
      <c r="N1968" s="111">
        <f>IF(M1968=0,0,(M1968/J1968))</f>
        <v>1</v>
      </c>
    </row>
    <row r="1969" spans="2:14">
      <c r="B1969" s="73">
        <v>127901</v>
      </c>
      <c r="C1969" s="23" t="s">
        <v>928</v>
      </c>
      <c r="D1969" s="123">
        <f>SUMIF(B$3:B$3844,B1969,M$3:M$3844)/(SUMIF(B$3:B$3844,B1969,J$3:J$3844))</f>
        <v>0.49710982658959535</v>
      </c>
      <c r="E1969" s="23">
        <v>38872</v>
      </c>
      <c r="F1969" s="46" t="s">
        <v>929</v>
      </c>
      <c r="G1969" s="23"/>
      <c r="H1969" s="23"/>
      <c r="I1969" s="41">
        <v>114</v>
      </c>
      <c r="J1969" s="41">
        <v>534</v>
      </c>
      <c r="K1969" s="20"/>
      <c r="L1969" s="20"/>
      <c r="M1969" s="110">
        <f>IF(L1969="",I1969,(MIN(J1969,(L1969*1.6*J1969))))</f>
        <v>114</v>
      </c>
      <c r="N1969" s="111">
        <f>IF(M1969=0,0,(M1969/J1969))</f>
        <v>0.21348314606741572</v>
      </c>
    </row>
    <row r="1970" spans="2:14">
      <c r="B1970" s="72">
        <v>127901</v>
      </c>
      <c r="C1970" s="47" t="s">
        <v>928</v>
      </c>
      <c r="D1970" s="123">
        <f>SUMIF(B$3:B$3844,B1970,M$3:M$3844)/(SUMIF(B$3:B$3844,B1970,J$3:J$3844))</f>
        <v>0.49710982658959535</v>
      </c>
      <c r="E1970" s="47">
        <v>38891</v>
      </c>
      <c r="F1970" s="48" t="s">
        <v>930</v>
      </c>
      <c r="G1970" s="47"/>
      <c r="H1970" s="47"/>
      <c r="I1970" s="40"/>
      <c r="J1970" s="40">
        <v>61</v>
      </c>
      <c r="K1970" s="20">
        <v>2014</v>
      </c>
      <c r="L1970" s="20">
        <v>64.86</v>
      </c>
      <c r="M1970" s="110">
        <f>IF(L1970="",I1970,(MIN(J1970,(L1970*1.6*J1970))))</f>
        <v>61</v>
      </c>
      <c r="N1970" s="111">
        <f>IF(M1970=0,0,(M1970/J1970))</f>
        <v>1</v>
      </c>
    </row>
    <row r="1971" spans="2:14">
      <c r="B1971" s="73">
        <v>127901</v>
      </c>
      <c r="C1971" s="23" t="s">
        <v>928</v>
      </c>
      <c r="D1971" s="123">
        <f>SUMIF(B$3:B$3844,B1971,M$3:M$3844)/(SUMIF(B$3:B$3844,B1971,J$3:J$3844))</f>
        <v>0.49710982658959535</v>
      </c>
      <c r="E1971" s="23">
        <v>16045599</v>
      </c>
      <c r="F1971" s="46" t="s">
        <v>931</v>
      </c>
      <c r="G1971" s="23"/>
      <c r="H1971" s="23"/>
      <c r="I1971" s="41">
        <v>153</v>
      </c>
      <c r="J1971" s="41">
        <v>667</v>
      </c>
      <c r="K1971" s="20"/>
      <c r="L1971" s="20"/>
      <c r="M1971" s="110">
        <f>IF(L1971="",I1971,(MIN(J1971,(L1971*1.6*J1971))))</f>
        <v>153</v>
      </c>
      <c r="N1971" s="111">
        <f>IF(M1971=0,0,(M1971/J1971))</f>
        <v>0.22938530734632684</v>
      </c>
    </row>
    <row r="1972" spans="2:14">
      <c r="B1972" s="72">
        <v>127901</v>
      </c>
      <c r="C1972" s="47" t="s">
        <v>928</v>
      </c>
      <c r="D1972" s="123">
        <f>SUMIF(B$3:B$3844,B1972,M$3:M$3844)/(SUMIF(B$3:B$3844,B1972,J$3:J$3844))</f>
        <v>0.49710982658959535</v>
      </c>
      <c r="E1972" s="47">
        <v>38889</v>
      </c>
      <c r="F1972" s="48" t="s">
        <v>932</v>
      </c>
      <c r="G1972" s="47"/>
      <c r="H1972" s="47"/>
      <c r="I1972" s="40">
        <v>229</v>
      </c>
      <c r="J1972" s="40">
        <v>587</v>
      </c>
      <c r="K1972" s="20"/>
      <c r="L1972" s="20"/>
      <c r="M1972" s="110">
        <f>IF(L1972="",I1972,(MIN(J1972,(L1972*1.6*J1972))))</f>
        <v>229</v>
      </c>
      <c r="N1972" s="111">
        <f>IF(M1972=0,0,(M1972/J1972))</f>
        <v>0.3901192504258944</v>
      </c>
    </row>
    <row r="1973" spans="2:14">
      <c r="B1973" s="73">
        <v>127901</v>
      </c>
      <c r="C1973" s="23" t="s">
        <v>928</v>
      </c>
      <c r="D1973" s="123">
        <f>SUMIF(B$3:B$3844,B1973,M$3:M$3844)/(SUMIF(B$3:B$3844,B1973,J$3:J$3844))</f>
        <v>0.49710982658959535</v>
      </c>
      <c r="E1973" s="23">
        <v>16036029</v>
      </c>
      <c r="F1973" s="46" t="s">
        <v>933</v>
      </c>
      <c r="G1973" s="23"/>
      <c r="H1973" s="23"/>
      <c r="I1973" s="41">
        <v>534</v>
      </c>
      <c r="J1973" s="41">
        <v>955</v>
      </c>
      <c r="K1973" s="20"/>
      <c r="L1973" s="20"/>
      <c r="M1973" s="110">
        <f>IF(L1973="",I1973,(MIN(J1973,(L1973*1.6*J1973))))</f>
        <v>534</v>
      </c>
      <c r="N1973" s="111">
        <f>IF(M1973=0,0,(M1973/J1973))</f>
        <v>0.55916230366492148</v>
      </c>
    </row>
    <row r="1974" spans="2:14">
      <c r="B1974" s="72">
        <v>127901</v>
      </c>
      <c r="C1974" s="47" t="s">
        <v>928</v>
      </c>
      <c r="D1974" s="123">
        <f>SUMIF(B$3:B$3844,B1974,M$3:M$3844)/(SUMIF(B$3:B$3844,B1974,J$3:J$3844))</f>
        <v>0.49710982658959535</v>
      </c>
      <c r="E1974" s="47">
        <v>38837</v>
      </c>
      <c r="F1974" s="48" t="s">
        <v>934</v>
      </c>
      <c r="G1974" s="47"/>
      <c r="H1974" s="47"/>
      <c r="I1974" s="40"/>
      <c r="J1974" s="40">
        <v>0</v>
      </c>
      <c r="K1974" s="20"/>
      <c r="L1974" s="20"/>
      <c r="M1974" s="110">
        <f>IF(L1974="",I1974,(MIN(J1974,(L1974*1.6*J1974))))</f>
        <v>0</v>
      </c>
      <c r="N1974" s="111">
        <f>IF(M1974=0,0,(M1974/J1974))</f>
        <v>0</v>
      </c>
    </row>
    <row r="1975" spans="2:14">
      <c r="B1975" s="73">
        <v>127901</v>
      </c>
      <c r="C1975" s="23" t="s">
        <v>928</v>
      </c>
      <c r="D1975" s="123">
        <f>SUMIF(B$3:B$3844,B1975,M$3:M$3844)/(SUMIF(B$3:B$3844,B1975,J$3:J$3844))</f>
        <v>0.49710982658959535</v>
      </c>
      <c r="E1975" s="23">
        <v>38878</v>
      </c>
      <c r="F1975" s="46" t="s">
        <v>935</v>
      </c>
      <c r="G1975" s="23"/>
      <c r="H1975" s="23"/>
      <c r="I1975" s="41">
        <v>268</v>
      </c>
      <c r="J1975" s="41">
        <v>675</v>
      </c>
      <c r="K1975" s="20"/>
      <c r="L1975" s="20"/>
      <c r="M1975" s="110">
        <f>IF(L1975="",I1975,(MIN(J1975,(L1975*1.6*J1975))))</f>
        <v>268</v>
      </c>
      <c r="N1975" s="111">
        <f>IF(M1975=0,0,(M1975/J1975))</f>
        <v>0.39703703703703702</v>
      </c>
    </row>
    <row r="1976" spans="2:14">
      <c r="B1976" s="72">
        <v>127901</v>
      </c>
      <c r="C1976" s="47" t="s">
        <v>928</v>
      </c>
      <c r="D1976" s="123">
        <f>SUMIF(B$3:B$3844,B1976,M$3:M$3844)/(SUMIF(B$3:B$3844,B1976,J$3:J$3844))</f>
        <v>0.49710982658959535</v>
      </c>
      <c r="E1976" s="47">
        <v>38873</v>
      </c>
      <c r="F1976" s="48" t="s">
        <v>936</v>
      </c>
      <c r="G1976" s="47"/>
      <c r="H1976" s="47"/>
      <c r="I1976" s="40">
        <v>216</v>
      </c>
      <c r="J1976" s="40">
        <v>1053</v>
      </c>
      <c r="K1976" s="20"/>
      <c r="L1976" s="20"/>
      <c r="M1976" s="110">
        <f>IF(L1976="",I1976,(MIN(J1976,(L1976*1.6*J1976))))</f>
        <v>216</v>
      </c>
      <c r="N1976" s="111">
        <f>IF(M1976=0,0,(M1976/J1976))</f>
        <v>0.20512820512820512</v>
      </c>
    </row>
    <row r="1977" spans="2:14">
      <c r="B1977" s="73">
        <v>127901</v>
      </c>
      <c r="C1977" s="23" t="s">
        <v>928</v>
      </c>
      <c r="D1977" s="123">
        <f>SUMIF(B$3:B$3844,B1977,M$3:M$3844)/(SUMIF(B$3:B$3844,B1977,J$3:J$3844))</f>
        <v>0.49710982658959535</v>
      </c>
      <c r="E1977" s="23">
        <v>37440</v>
      </c>
      <c r="F1977" s="46" t="s">
        <v>937</v>
      </c>
      <c r="G1977" s="23"/>
      <c r="H1977" s="23"/>
      <c r="I1977" s="41">
        <v>352</v>
      </c>
      <c r="J1977" s="41">
        <v>632</v>
      </c>
      <c r="K1977" s="20"/>
      <c r="L1977" s="20"/>
      <c r="M1977" s="110">
        <f>IF(L1977="",I1977,(MIN(J1977,(L1977*1.6*J1977))))</f>
        <v>352</v>
      </c>
      <c r="N1977" s="111">
        <f>IF(M1977=0,0,(M1977/J1977))</f>
        <v>0.55696202531645567</v>
      </c>
    </row>
    <row r="1978" spans="2:14">
      <c r="B1978" s="72">
        <v>127901</v>
      </c>
      <c r="C1978" s="47" t="s">
        <v>928</v>
      </c>
      <c r="D1978" s="123">
        <f>SUMIF(B$3:B$3844,B1978,M$3:M$3844)/(SUMIF(B$3:B$3844,B1978,J$3:J$3844))</f>
        <v>0.49710982658959535</v>
      </c>
      <c r="E1978" s="47">
        <v>38831</v>
      </c>
      <c r="F1978" s="48" t="s">
        <v>938</v>
      </c>
      <c r="G1978" s="47"/>
      <c r="H1978" s="47"/>
      <c r="I1978" s="40"/>
      <c r="J1978" s="40">
        <v>523</v>
      </c>
      <c r="K1978" s="20">
        <v>2015</v>
      </c>
      <c r="L1978" s="20">
        <v>68.62</v>
      </c>
      <c r="M1978" s="110">
        <f>IF(L1978="",I1978,(MIN(J1978,(L1978*1.6*J1978))))</f>
        <v>523</v>
      </c>
      <c r="N1978" s="111">
        <f>IF(M1978=0,0,(M1978/J1978))</f>
        <v>1</v>
      </c>
    </row>
    <row r="1979" spans="2:14">
      <c r="B1979" s="73">
        <v>127901</v>
      </c>
      <c r="C1979" s="23" t="s">
        <v>928</v>
      </c>
      <c r="D1979" s="123">
        <f>SUMIF(B$3:B$3844,B1979,M$3:M$3844)/(SUMIF(B$3:B$3844,B1979,J$3:J$3844))</f>
        <v>0.49710982658959535</v>
      </c>
      <c r="E1979" s="23">
        <v>38887</v>
      </c>
      <c r="F1979" s="46" t="s">
        <v>939</v>
      </c>
      <c r="G1979" s="23"/>
      <c r="H1979" s="23"/>
      <c r="I1979" s="41"/>
      <c r="J1979" s="41">
        <v>659</v>
      </c>
      <c r="K1979" s="20">
        <v>2014</v>
      </c>
      <c r="L1979" s="20">
        <v>63.24</v>
      </c>
      <c r="M1979" s="110">
        <f>IF(L1979="",I1979,(MIN(J1979,(L1979*1.6*J1979))))</f>
        <v>659</v>
      </c>
      <c r="N1979" s="111">
        <f>IF(M1979=0,0,(M1979/J1979))</f>
        <v>1</v>
      </c>
    </row>
    <row r="1980" spans="2:14">
      <c r="B1980" s="72">
        <v>127901</v>
      </c>
      <c r="C1980" s="47" t="s">
        <v>928</v>
      </c>
      <c r="D1980" s="123">
        <f>SUMIF(B$3:B$3844,B1980,M$3:M$3844)/(SUMIF(B$3:B$3844,B1980,J$3:J$3844))</f>
        <v>0.49710982658959535</v>
      </c>
      <c r="E1980" s="47">
        <v>38838</v>
      </c>
      <c r="F1980" s="48" t="s">
        <v>940</v>
      </c>
      <c r="G1980" s="47"/>
      <c r="H1980" s="47"/>
      <c r="I1980" s="40">
        <v>319</v>
      </c>
      <c r="J1980" s="40">
        <v>640</v>
      </c>
      <c r="K1980" s="20"/>
      <c r="L1980" s="20"/>
      <c r="M1980" s="110">
        <f>IF(L1980="",I1980,(MIN(J1980,(L1980*1.6*J1980))))</f>
        <v>319</v>
      </c>
      <c r="N1980" s="111">
        <f>IF(M1980=0,0,(M1980/J1980))</f>
        <v>0.49843749999999998</v>
      </c>
    </row>
    <row r="1981" spans="2:14">
      <c r="B1981" s="73">
        <v>127901</v>
      </c>
      <c r="C1981" s="23" t="s">
        <v>928</v>
      </c>
      <c r="D1981" s="123">
        <f>SUMIF(B$3:B$3844,B1981,M$3:M$3844)/(SUMIF(B$3:B$3844,B1981,J$3:J$3844))</f>
        <v>0.49710982658959535</v>
      </c>
      <c r="E1981" s="23">
        <v>16026322</v>
      </c>
      <c r="F1981" s="46" t="s">
        <v>941</v>
      </c>
      <c r="G1981" s="23"/>
      <c r="H1981" s="23"/>
      <c r="I1981" s="41">
        <v>485</v>
      </c>
      <c r="J1981" s="41">
        <v>1667</v>
      </c>
      <c r="K1981" s="20"/>
      <c r="L1981" s="20"/>
      <c r="M1981" s="110">
        <f>IF(L1981="",I1981,(MIN(J1981,(L1981*1.6*J1981))))</f>
        <v>485</v>
      </c>
      <c r="N1981" s="111">
        <f>IF(M1981=0,0,(M1981/J1981))</f>
        <v>0.29094181163767247</v>
      </c>
    </row>
    <row r="1982" spans="2:14">
      <c r="B1982" s="72">
        <v>127901</v>
      </c>
      <c r="C1982" s="47" t="s">
        <v>928</v>
      </c>
      <c r="D1982" s="123">
        <f>SUMIF(B$3:B$3844,B1982,M$3:M$3844)/(SUMIF(B$3:B$3844,B1982,J$3:J$3844))</f>
        <v>0.49710982658959535</v>
      </c>
      <c r="E1982" s="47">
        <v>38883</v>
      </c>
      <c r="F1982" s="48" t="s">
        <v>942</v>
      </c>
      <c r="G1982" s="47"/>
      <c r="H1982" s="47"/>
      <c r="I1982" s="40">
        <v>24</v>
      </c>
      <c r="J1982" s="40">
        <v>25</v>
      </c>
      <c r="K1982" s="20"/>
      <c r="L1982" s="20"/>
      <c r="M1982" s="110">
        <f>IF(L1982="",I1982,(MIN(J1982,(L1982*1.6*J1982))))</f>
        <v>24</v>
      </c>
      <c r="N1982" s="111">
        <f>IF(M1982=0,0,(M1982/J1982))</f>
        <v>0.96</v>
      </c>
    </row>
    <row r="1983" spans="2:14">
      <c r="B1983" s="73">
        <v>127901</v>
      </c>
      <c r="C1983" s="23" t="s">
        <v>928</v>
      </c>
      <c r="D1983" s="123">
        <f>SUMIF(B$3:B$3844,B1983,M$3:M$3844)/(SUMIF(B$3:B$3844,B1983,J$3:J$3844))</f>
        <v>0.49710982658959535</v>
      </c>
      <c r="E1983" s="23">
        <v>38884</v>
      </c>
      <c r="F1983" s="46" t="s">
        <v>943</v>
      </c>
      <c r="G1983" s="23"/>
      <c r="H1983" s="23"/>
      <c r="I1983" s="41">
        <v>731</v>
      </c>
      <c r="J1983" s="41">
        <v>2201</v>
      </c>
      <c r="K1983" s="20"/>
      <c r="L1983" s="20"/>
      <c r="M1983" s="110">
        <f>IF(L1983="",I1983,(MIN(J1983,(L1983*1.6*J1983))))</f>
        <v>731</v>
      </c>
      <c r="N1983" s="111">
        <f>IF(M1983=0,0,(M1983/J1983))</f>
        <v>0.33212176283507494</v>
      </c>
    </row>
    <row r="1984" spans="2:14">
      <c r="B1984" s="72">
        <v>127901</v>
      </c>
      <c r="C1984" s="47" t="s">
        <v>928</v>
      </c>
      <c r="D1984" s="123">
        <f>SUMIF(B$3:B$3844,B1984,M$3:M$3844)/(SUMIF(B$3:B$3844,B1984,J$3:J$3844))</f>
        <v>0.49710982658959535</v>
      </c>
      <c r="E1984" s="47">
        <v>16036381</v>
      </c>
      <c r="F1984" s="48" t="s">
        <v>944</v>
      </c>
      <c r="G1984" s="47"/>
      <c r="H1984" s="47"/>
      <c r="I1984" s="40"/>
      <c r="J1984" s="40" t="s">
        <v>264</v>
      </c>
      <c r="K1984" s="20"/>
      <c r="L1984" s="20"/>
      <c r="M1984" s="110">
        <f>IF(L1984="",I1984,(MIN(J1984,(L1984*1.6*J1984))))</f>
        <v>0</v>
      </c>
      <c r="N1984" s="111">
        <f>IF(M1984=0,0,(M1984/J1984))</f>
        <v>0</v>
      </c>
    </row>
    <row r="1985" spans="2:14">
      <c r="B1985" s="73">
        <v>127901</v>
      </c>
      <c r="C1985" s="23" t="s">
        <v>928</v>
      </c>
      <c r="D1985" s="123">
        <f>SUMIF(B$3:B$3844,B1985,M$3:M$3844)/(SUMIF(B$3:B$3844,B1985,J$3:J$3844))</f>
        <v>0.49710982658959535</v>
      </c>
      <c r="E1985" s="23">
        <v>38895</v>
      </c>
      <c r="F1985" s="46" t="s">
        <v>945</v>
      </c>
      <c r="G1985" s="23"/>
      <c r="H1985" s="23"/>
      <c r="I1985" s="41">
        <v>375</v>
      </c>
      <c r="J1985" s="41">
        <v>754</v>
      </c>
      <c r="K1985" s="20"/>
      <c r="L1985" s="20"/>
      <c r="M1985" s="110">
        <f>IF(L1985="",I1985,(MIN(J1985,(L1985*1.6*J1985))))</f>
        <v>375</v>
      </c>
      <c r="N1985" s="111">
        <f>IF(M1985=0,0,(M1985/J1985))</f>
        <v>0.4973474801061008</v>
      </c>
    </row>
    <row r="1986" spans="2:14">
      <c r="B1986" s="72">
        <v>127901</v>
      </c>
      <c r="C1986" s="47" t="s">
        <v>928</v>
      </c>
      <c r="D1986" s="123">
        <f>SUMIF(B$3:B$3844,B1986,M$3:M$3844)/(SUMIF(B$3:B$3844,B1986,J$3:J$3844))</f>
        <v>0.49710982658959535</v>
      </c>
      <c r="E1986" s="47">
        <v>38874</v>
      </c>
      <c r="F1986" s="48" t="s">
        <v>946</v>
      </c>
      <c r="G1986" s="47"/>
      <c r="H1986" s="47"/>
      <c r="I1986" s="40">
        <v>170</v>
      </c>
      <c r="J1986" s="40">
        <v>690</v>
      </c>
      <c r="K1986" s="20"/>
      <c r="L1986" s="20"/>
      <c r="M1986" s="110">
        <f>IF(L1986="",I1986,(MIN(J1986,(L1986*1.6*J1986))))</f>
        <v>170</v>
      </c>
      <c r="N1986" s="111">
        <f>IF(M1986=0,0,(M1986/J1986))</f>
        <v>0.24637681159420291</v>
      </c>
    </row>
    <row r="1987" spans="2:14">
      <c r="B1987" s="73">
        <v>127901</v>
      </c>
      <c r="C1987" s="23" t="s">
        <v>928</v>
      </c>
      <c r="D1987" s="123">
        <f>SUMIF(B$3:B$3844,B1987,M$3:M$3844)/(SUMIF(B$3:B$3844,B1987,J$3:J$3844))</f>
        <v>0.49710982658959535</v>
      </c>
      <c r="E1987" s="23">
        <v>38892</v>
      </c>
      <c r="F1987" s="46" t="s">
        <v>176</v>
      </c>
      <c r="G1987" s="23"/>
      <c r="H1987" s="23"/>
      <c r="I1987" s="41"/>
      <c r="J1987" s="41">
        <v>815</v>
      </c>
      <c r="K1987" s="20">
        <v>2014</v>
      </c>
      <c r="L1987" s="20">
        <v>52.92</v>
      </c>
      <c r="M1987" s="110">
        <f>IF(L1987="",I1987,(MIN(J1987,(L1987*1.6*J1987))))</f>
        <v>815</v>
      </c>
      <c r="N1987" s="111">
        <f>IF(M1987=0,0,(M1987/J1987))</f>
        <v>1</v>
      </c>
    </row>
    <row r="1988" spans="2:14">
      <c r="B1988" s="72">
        <v>127901</v>
      </c>
      <c r="C1988" s="47" t="s">
        <v>928</v>
      </c>
      <c r="D1988" s="123">
        <f>SUMIF(B$3:B$3844,B1988,M$3:M$3844)/(SUMIF(B$3:B$3844,B1988,J$3:J$3844))</f>
        <v>0.49710982658959535</v>
      </c>
      <c r="E1988" s="47">
        <v>38893</v>
      </c>
      <c r="F1988" s="48" t="s">
        <v>947</v>
      </c>
      <c r="G1988" s="47"/>
      <c r="H1988" s="47"/>
      <c r="I1988" s="40"/>
      <c r="J1988" s="40">
        <v>817</v>
      </c>
      <c r="K1988" s="20">
        <v>2014</v>
      </c>
      <c r="L1988" s="20">
        <v>69.27</v>
      </c>
      <c r="M1988" s="110">
        <f>IF(L1988="",I1988,(MIN(J1988,(L1988*1.6*J1988))))</f>
        <v>817</v>
      </c>
      <c r="N1988" s="111">
        <f>IF(M1988=0,0,(M1988/J1988))</f>
        <v>1</v>
      </c>
    </row>
    <row r="1989" spans="2:14">
      <c r="B1989" s="73">
        <v>127901</v>
      </c>
      <c r="C1989" s="23" t="s">
        <v>928</v>
      </c>
      <c r="D1989" s="123">
        <f>SUMIF(B$3:B$3844,B1989,M$3:M$3844)/(SUMIF(B$3:B$3844,B1989,J$3:J$3844))</f>
        <v>0.49710982658959535</v>
      </c>
      <c r="E1989" s="23">
        <v>225519</v>
      </c>
      <c r="F1989" s="46" t="s">
        <v>948</v>
      </c>
      <c r="G1989" s="23"/>
      <c r="H1989" s="23"/>
      <c r="I1989" s="41">
        <v>23</v>
      </c>
      <c r="J1989" s="41">
        <v>23</v>
      </c>
      <c r="K1989" s="20"/>
      <c r="L1989" s="20"/>
      <c r="M1989" s="110">
        <f>IF(L1989="",I1989,(MIN(J1989,(L1989*1.6*J1989))))</f>
        <v>23</v>
      </c>
      <c r="N1989" s="111">
        <f>IF(M1989=0,0,(M1989/J1989))</f>
        <v>1</v>
      </c>
    </row>
    <row r="1990" spans="2:14">
      <c r="B1990" s="72">
        <v>127901</v>
      </c>
      <c r="C1990" s="47" t="s">
        <v>928</v>
      </c>
      <c r="D1990" s="123">
        <f>SUMIF(B$3:B$3844,B1990,M$3:M$3844)/(SUMIF(B$3:B$3844,B1990,J$3:J$3844))</f>
        <v>0.49710982658959535</v>
      </c>
      <c r="E1990" s="47">
        <v>16082716</v>
      </c>
      <c r="F1990" s="48" t="s">
        <v>949</v>
      </c>
      <c r="G1990" s="47"/>
      <c r="H1990" s="47"/>
      <c r="I1990" s="40"/>
      <c r="J1990" s="40">
        <v>126</v>
      </c>
      <c r="K1990" s="20"/>
      <c r="L1990" s="20"/>
      <c r="M1990" s="110">
        <f>IF(L1990="",I1990,(MIN(J1990,(L1990*1.6*J1990))))</f>
        <v>0</v>
      </c>
      <c r="N1990" s="111">
        <f>IF(M1990=0,0,(M1990/J1990))</f>
        <v>0</v>
      </c>
    </row>
    <row r="1991" spans="2:14">
      <c r="B1991" s="73">
        <v>127901</v>
      </c>
      <c r="C1991" s="23" t="s">
        <v>928</v>
      </c>
      <c r="D1991" s="123">
        <f>SUMIF(B$3:B$3844,B1991,M$3:M$3844)/(SUMIF(B$3:B$3844,B1991,J$3:J$3844))</f>
        <v>0.49710982658959535</v>
      </c>
      <c r="E1991" s="23">
        <v>37442</v>
      </c>
      <c r="F1991" s="46" t="s">
        <v>950</v>
      </c>
      <c r="G1991" s="23"/>
      <c r="H1991" s="23"/>
      <c r="I1991" s="41">
        <v>380</v>
      </c>
      <c r="J1991" s="41">
        <v>681</v>
      </c>
      <c r="K1991" s="20"/>
      <c r="L1991" s="20"/>
      <c r="M1991" s="110">
        <f>IF(L1991="",I1991,(MIN(J1991,(L1991*1.6*J1991))))</f>
        <v>380</v>
      </c>
      <c r="N1991" s="111">
        <f>IF(M1991=0,0,(M1991/J1991))</f>
        <v>0.55800293685756241</v>
      </c>
    </row>
    <row r="1992" spans="2:14">
      <c r="B1992" s="72">
        <v>127901</v>
      </c>
      <c r="C1992" s="47" t="s">
        <v>928</v>
      </c>
      <c r="D1992" s="123">
        <f>SUMIF(B$3:B$3844,B1992,M$3:M$3844)/(SUMIF(B$3:B$3844,B1992,J$3:J$3844))</f>
        <v>0.49710982658959535</v>
      </c>
      <c r="E1992" s="47">
        <v>38890</v>
      </c>
      <c r="F1992" s="48" t="s">
        <v>951</v>
      </c>
      <c r="G1992" s="47"/>
      <c r="H1992" s="47"/>
      <c r="I1992" s="40">
        <v>760</v>
      </c>
      <c r="J1992" s="40">
        <v>1933</v>
      </c>
      <c r="K1992" s="20"/>
      <c r="L1992" s="20"/>
      <c r="M1992" s="110">
        <f>IF(L1992="",I1992,(MIN(J1992,(L1992*1.6*J1992))))</f>
        <v>760</v>
      </c>
      <c r="N1992" s="111">
        <f>IF(M1992=0,0,(M1992/J1992))</f>
        <v>0.3931712364200724</v>
      </c>
    </row>
    <row r="1993" spans="2:14">
      <c r="B1993" s="73">
        <v>127901</v>
      </c>
      <c r="C1993" s="23" t="s">
        <v>928</v>
      </c>
      <c r="D1993" s="123">
        <f>SUMIF(B$3:B$3844,B1993,M$3:M$3844)/(SUMIF(B$3:B$3844,B1993,J$3:J$3844))</f>
        <v>0.49710982658959535</v>
      </c>
      <c r="E1993" s="23">
        <v>38882</v>
      </c>
      <c r="F1993" s="46" t="s">
        <v>952</v>
      </c>
      <c r="G1993" s="23"/>
      <c r="H1993" s="23"/>
      <c r="I1993" s="41">
        <v>49</v>
      </c>
      <c r="J1993" s="41">
        <v>78</v>
      </c>
      <c r="K1993" s="20"/>
      <c r="L1993" s="20"/>
      <c r="M1993" s="110">
        <f>IF(L1993="",I1993,(MIN(J1993,(L1993*1.6*J1993))))</f>
        <v>49</v>
      </c>
      <c r="N1993" s="111">
        <f>IF(M1993=0,0,(M1993/J1993))</f>
        <v>0.62820512820512819</v>
      </c>
    </row>
    <row r="1994" spans="2:14">
      <c r="B1994" s="72">
        <v>127901</v>
      </c>
      <c r="C1994" s="47" t="s">
        <v>928</v>
      </c>
      <c r="D1994" s="123">
        <f>SUMIF(B$3:B$3844,B1994,M$3:M$3844)/(SUMIF(B$3:B$3844,B1994,J$3:J$3844))</f>
        <v>0.49710982658959535</v>
      </c>
      <c r="E1994" s="47">
        <v>38881</v>
      </c>
      <c r="F1994" s="48" t="s">
        <v>953</v>
      </c>
      <c r="G1994" s="47"/>
      <c r="H1994" s="47"/>
      <c r="I1994" s="40">
        <v>394</v>
      </c>
      <c r="J1994" s="40">
        <v>951</v>
      </c>
      <c r="K1994" s="20"/>
      <c r="L1994" s="20"/>
      <c r="M1994" s="110">
        <f>IF(L1994="",I1994,(MIN(J1994,(L1994*1.6*J1994))))</f>
        <v>394</v>
      </c>
      <c r="N1994" s="111">
        <f>IF(M1994=0,0,(M1994/J1994))</f>
        <v>0.41430073606729756</v>
      </c>
    </row>
    <row r="1995" spans="2:14">
      <c r="B1995" s="73">
        <v>127901</v>
      </c>
      <c r="C1995" s="23" t="s">
        <v>928</v>
      </c>
      <c r="D1995" s="123">
        <f>SUMIF(B$3:B$3844,B1995,M$3:M$3844)/(SUMIF(B$3:B$3844,B1995,J$3:J$3844))</f>
        <v>0.49710982658959535</v>
      </c>
      <c r="E1995" s="23">
        <v>38834</v>
      </c>
      <c r="F1995" s="46" t="s">
        <v>954</v>
      </c>
      <c r="G1995" s="23"/>
      <c r="H1995" s="23"/>
      <c r="I1995" s="41"/>
      <c r="J1995" s="41">
        <v>13</v>
      </c>
      <c r="K1995" s="20"/>
      <c r="L1995" s="20"/>
      <c r="M1995" s="110">
        <f>IF(L1995="",I1995,(MIN(J1995,(L1995*1.6*J1995))))</f>
        <v>0</v>
      </c>
      <c r="N1995" s="111">
        <f>IF(M1995=0,0,(M1995/J1995))</f>
        <v>0</v>
      </c>
    </row>
    <row r="1996" spans="2:14">
      <c r="B1996" s="72">
        <v>127901</v>
      </c>
      <c r="C1996" s="47" t="s">
        <v>928</v>
      </c>
      <c r="D1996" s="123">
        <f>SUMIF(B$3:B$3844,B1996,M$3:M$3844)/(SUMIF(B$3:B$3844,B1996,J$3:J$3844))</f>
        <v>0.49710982658959535</v>
      </c>
      <c r="E1996" s="47">
        <v>38833</v>
      </c>
      <c r="F1996" s="48" t="s">
        <v>955</v>
      </c>
      <c r="G1996" s="47"/>
      <c r="H1996" s="47"/>
      <c r="I1996" s="40"/>
      <c r="J1996" s="40">
        <v>751</v>
      </c>
      <c r="K1996" s="20">
        <v>2015</v>
      </c>
      <c r="L1996" s="20">
        <v>69.84</v>
      </c>
      <c r="M1996" s="110">
        <f>IF(L1996="",I1996,(MIN(J1996,(L1996*1.6*J1996))))</f>
        <v>751</v>
      </c>
      <c r="N1996" s="111">
        <f>IF(M1996=0,0,(M1996/J1996))</f>
        <v>1</v>
      </c>
    </row>
    <row r="1997" spans="2:14">
      <c r="B1997" s="73">
        <v>127714</v>
      </c>
      <c r="C1997" s="23" t="str">
        <f>"MONROE"</f>
        <v>MONROE</v>
      </c>
      <c r="D1997" s="123">
        <f>SUMIF(B$3:B$3844,B1997,M$3:M$3844)/(SUMIF(B$3:B$3844,B1997,J$3:J$3844))</f>
        <v>0.47853924590941427</v>
      </c>
      <c r="E1997" s="23">
        <v>16071021</v>
      </c>
      <c r="F1997" s="46" t="s">
        <v>2156</v>
      </c>
      <c r="G1997" s="23"/>
      <c r="H1997" s="23"/>
      <c r="I1997" s="41"/>
      <c r="J1997" s="41">
        <v>8</v>
      </c>
      <c r="K1997" s="118"/>
      <c r="L1997" s="119"/>
      <c r="M1997" s="110">
        <f>IF(L1997="",I1997,(MIN(J1997,(L1997*1.6*J1997))))</f>
        <v>0</v>
      </c>
      <c r="N1997" s="111">
        <f>IF(M1997=0,0,(M1997/J1997))</f>
        <v>0</v>
      </c>
    </row>
    <row r="1998" spans="2:14">
      <c r="B1998" s="72">
        <v>127714</v>
      </c>
      <c r="C1998" s="47" t="str">
        <f>"MONROE"</f>
        <v>MONROE</v>
      </c>
      <c r="D1998" s="123">
        <f>SUMIF(B$3:B$3844,B1998,M$3:M$3844)/(SUMIF(B$3:B$3844,B1998,J$3:J$3844))</f>
        <v>0.47853924590941427</v>
      </c>
      <c r="E1998" s="47">
        <v>36484</v>
      </c>
      <c r="F1998" s="48" t="str">
        <f>"BIG PINE ACADEMY"</f>
        <v>BIG PINE ACADEMY</v>
      </c>
      <c r="G1998" s="47"/>
      <c r="H1998" s="47"/>
      <c r="I1998" s="40">
        <v>57</v>
      </c>
      <c r="J1998" s="40">
        <v>133</v>
      </c>
      <c r="K1998" s="118"/>
      <c r="L1998" s="119"/>
      <c r="M1998" s="110">
        <f>IF(L1998="",I1998,(MIN(J1998,(L1998*1.6*J1998))))</f>
        <v>57</v>
      </c>
      <c r="N1998" s="111">
        <f>IF(M1998=0,0,(M1998/J1998))</f>
        <v>0.42857142857142855</v>
      </c>
    </row>
    <row r="1999" spans="2:14">
      <c r="B1999" s="73">
        <v>127714</v>
      </c>
      <c r="C1999" s="23" t="str">
        <f>"MONROE"</f>
        <v>MONROE</v>
      </c>
      <c r="D1999" s="123">
        <f>SUMIF(B$3:B$3844,B1999,M$3:M$3844)/(SUMIF(B$3:B$3844,B1999,J$3:J$3844))</f>
        <v>0.47853924590941427</v>
      </c>
      <c r="E1999" s="23">
        <v>36599</v>
      </c>
      <c r="F1999" s="46" t="str">
        <f>"CORAL SHORES HIGH SCHOOL"</f>
        <v>CORAL SHORES HIGH SCHOOL</v>
      </c>
      <c r="G1999" s="23"/>
      <c r="H1999" s="23"/>
      <c r="I1999" s="41">
        <v>268</v>
      </c>
      <c r="J1999" s="41">
        <v>713</v>
      </c>
      <c r="K1999" s="118"/>
      <c r="L1999" s="119"/>
      <c r="M1999" s="110">
        <f>IF(L1999="",I1999,(MIN(J1999,(L1999*1.6*J1999))))</f>
        <v>268</v>
      </c>
      <c r="N1999" s="111">
        <f>IF(M1999=0,0,(M1999/J1999))</f>
        <v>0.37587657784011219</v>
      </c>
    </row>
    <row r="2000" spans="2:14">
      <c r="B2000" s="72">
        <v>127714</v>
      </c>
      <c r="C2000" s="47" t="str">
        <f>"MONROE"</f>
        <v>MONROE</v>
      </c>
      <c r="D2000" s="123">
        <f>SUMIF(B$3:B$3844,B2000,M$3:M$3844)/(SUMIF(B$3:B$3844,B2000,J$3:J$3844))</f>
        <v>0.47853924590941427</v>
      </c>
      <c r="E2000" s="47">
        <v>36479</v>
      </c>
      <c r="F2000" s="48" t="str">
        <f>"GERALD ADAMS ELEMENTARY SCHOOL"</f>
        <v>GERALD ADAMS ELEMENTARY SCHOOL</v>
      </c>
      <c r="G2000" s="47"/>
      <c r="H2000" s="47"/>
      <c r="I2000" s="40">
        <v>419</v>
      </c>
      <c r="J2000" s="40">
        <v>557</v>
      </c>
      <c r="K2000" s="118"/>
      <c r="L2000" s="119"/>
      <c r="M2000" s="110">
        <f>IF(L2000="",I2000,(MIN(J2000,(L2000*1.6*J2000))))</f>
        <v>419</v>
      </c>
      <c r="N2000" s="111">
        <f>IF(M2000=0,0,(M2000/J2000))</f>
        <v>0.75224416517055659</v>
      </c>
    </row>
    <row r="2001" spans="2:14">
      <c r="B2001" s="73">
        <v>127714</v>
      </c>
      <c r="C2001" s="23" t="str">
        <f>"MONROE"</f>
        <v>MONROE</v>
      </c>
      <c r="D2001" s="123">
        <f>SUMIF(B$3:B$3844,B2001,M$3:M$3844)/(SUMIF(B$3:B$3844,B2001,J$3:J$3844))</f>
        <v>0.47853924590941427</v>
      </c>
      <c r="E2001" s="23">
        <v>36475</v>
      </c>
      <c r="F2001" s="46" t="str">
        <f>"HORACE O'BRYANT SCHOOL"</f>
        <v>HORACE O'BRYANT SCHOOL</v>
      </c>
      <c r="G2001" s="23"/>
      <c r="H2001" s="23"/>
      <c r="I2001" s="41">
        <v>748</v>
      </c>
      <c r="J2001" s="41">
        <v>1092</v>
      </c>
      <c r="K2001" s="118"/>
      <c r="L2001" s="119"/>
      <c r="M2001" s="110">
        <f>IF(L2001="",I2001,(MIN(J2001,(L2001*1.6*J2001))))</f>
        <v>748</v>
      </c>
      <c r="N2001" s="111">
        <f>IF(M2001=0,0,(M2001/J2001))</f>
        <v>0.68498168498168499</v>
      </c>
    </row>
    <row r="2002" spans="2:14">
      <c r="B2002" s="72">
        <v>127714</v>
      </c>
      <c r="C2002" s="47" t="str">
        <f>"MONROE"</f>
        <v>MONROE</v>
      </c>
      <c r="D2002" s="123">
        <f>SUMIF(B$3:B$3844,B2002,M$3:M$3844)/(SUMIF(B$3:B$3844,B2002,J$3:J$3844))</f>
        <v>0.47853924590941427</v>
      </c>
      <c r="E2002" s="47">
        <v>170714</v>
      </c>
      <c r="F2002" s="48" t="str">
        <f>"HURRICANE ISLAND OUTWARD BOUND"</f>
        <v>HURRICANE ISLAND OUTWARD BOUND</v>
      </c>
      <c r="G2002" s="47"/>
      <c r="H2002" s="47"/>
      <c r="I2002" s="40"/>
      <c r="J2002" s="40" t="s">
        <v>798</v>
      </c>
      <c r="K2002" s="118"/>
      <c r="L2002" s="119"/>
      <c r="M2002" s="110">
        <f>IF(L2002="",I2002,(MIN(J2002,(L2002*1.6*J2002))))</f>
        <v>0</v>
      </c>
      <c r="N2002" s="111">
        <f>IF(M2002=0,0,(M2002/J2002))</f>
        <v>0</v>
      </c>
    </row>
    <row r="2003" spans="2:14">
      <c r="B2003" s="73">
        <v>127714</v>
      </c>
      <c r="C2003" s="23" t="str">
        <f>"MONROE"</f>
        <v>MONROE</v>
      </c>
      <c r="D2003" s="123">
        <f>SUMIF(B$3:B$3844,B2003,M$3:M$3844)/(SUMIF(B$3:B$3844,B2003,J$3:J$3844))</f>
        <v>0.47853924590941427</v>
      </c>
      <c r="E2003" s="23">
        <v>36469</v>
      </c>
      <c r="F2003" s="46" t="str">
        <f>"KEY LARGO SCHOOL"</f>
        <v>KEY LARGO SCHOOL</v>
      </c>
      <c r="G2003" s="23"/>
      <c r="H2003" s="23"/>
      <c r="I2003" s="41">
        <v>559</v>
      </c>
      <c r="J2003" s="41">
        <v>858</v>
      </c>
      <c r="K2003" s="118"/>
      <c r="L2003" s="119"/>
      <c r="M2003" s="110">
        <f>IF(L2003="",I2003,(MIN(J2003,(L2003*1.6*J2003))))</f>
        <v>559</v>
      </c>
      <c r="N2003" s="111">
        <f>IF(M2003=0,0,(M2003/J2003))</f>
        <v>0.65151515151515149</v>
      </c>
    </row>
    <row r="2004" spans="2:14">
      <c r="B2004" s="72">
        <v>127714</v>
      </c>
      <c r="C2004" s="47" t="str">
        <f>"MONROE"</f>
        <v>MONROE</v>
      </c>
      <c r="D2004" s="123">
        <f>SUMIF(B$3:B$3844,B2004,M$3:M$3844)/(SUMIF(B$3:B$3844,B2004,J$3:J$3844))</f>
        <v>0.47853924590941427</v>
      </c>
      <c r="E2004" s="47">
        <v>16073010</v>
      </c>
      <c r="F2004" s="48" t="str">
        <f>"KEY WEST COLLEGIATE SCHOOL"</f>
        <v>KEY WEST COLLEGIATE SCHOOL</v>
      </c>
      <c r="G2004" s="47"/>
      <c r="H2004" s="47"/>
      <c r="I2004" s="40">
        <v>8</v>
      </c>
      <c r="J2004" s="40">
        <v>76</v>
      </c>
      <c r="K2004" s="118"/>
      <c r="L2004" s="119"/>
      <c r="M2004" s="110">
        <f>IF(L2004="",I2004,(MIN(J2004,(L2004*1.6*J2004))))</f>
        <v>8</v>
      </c>
      <c r="N2004" s="111">
        <f>IF(M2004=0,0,(M2004/J2004))</f>
        <v>0.10526315789473684</v>
      </c>
    </row>
    <row r="2005" spans="2:14">
      <c r="B2005" s="73">
        <v>127714</v>
      </c>
      <c r="C2005" s="23" t="str">
        <f>"MONROE"</f>
        <v>MONROE</v>
      </c>
      <c r="D2005" s="123">
        <f>SUMIF(B$3:B$3844,B2005,M$3:M$3844)/(SUMIF(B$3:B$3844,B2005,J$3:J$3844))</f>
        <v>0.47853924590941427</v>
      </c>
      <c r="E2005" s="23">
        <v>36476</v>
      </c>
      <c r="F2005" s="46" t="str">
        <f>"KEY WEST HIGH SCHOOL"</f>
        <v>KEY WEST HIGH SCHOOL</v>
      </c>
      <c r="G2005" s="23"/>
      <c r="H2005" s="23"/>
      <c r="I2005" s="41">
        <v>444</v>
      </c>
      <c r="J2005" s="41">
        <v>1182</v>
      </c>
      <c r="K2005" s="118"/>
      <c r="L2005" s="119"/>
      <c r="M2005" s="110">
        <f>IF(L2005="",I2005,(MIN(J2005,(L2005*1.6*J2005))))</f>
        <v>444</v>
      </c>
      <c r="N2005" s="111">
        <f>IF(M2005=0,0,(M2005/J2005))</f>
        <v>0.37563451776649748</v>
      </c>
    </row>
    <row r="2006" spans="2:14">
      <c r="B2006" s="72">
        <v>127714</v>
      </c>
      <c r="C2006" s="47" t="str">
        <f>"MONROE"</f>
        <v>MONROE</v>
      </c>
      <c r="D2006" s="123">
        <f>SUMIF(B$3:B$3844,B2006,M$3:M$3844)/(SUMIF(B$3:B$3844,B2006,J$3:J$3844))</f>
        <v>0.47853924590941427</v>
      </c>
      <c r="E2006" s="47">
        <v>213258</v>
      </c>
      <c r="F2006" s="48" t="s">
        <v>2157</v>
      </c>
      <c r="G2006" s="47"/>
      <c r="H2006" s="47"/>
      <c r="I2006" s="40">
        <v>21</v>
      </c>
      <c r="J2006" s="40">
        <v>148</v>
      </c>
      <c r="K2006" s="118"/>
      <c r="L2006" s="119"/>
      <c r="M2006" s="110">
        <f>IF(L2006="",I2006,(MIN(J2006,(L2006*1.6*J2006))))</f>
        <v>21</v>
      </c>
      <c r="N2006" s="111">
        <f>IF(M2006=0,0,(M2006/J2006))</f>
        <v>0.14189189189189189</v>
      </c>
    </row>
    <row r="2007" spans="2:14">
      <c r="B2007" s="73">
        <v>127714</v>
      </c>
      <c r="C2007" s="23" t="str">
        <f>"MONROE"</f>
        <v>MONROE</v>
      </c>
      <c r="D2007" s="123">
        <f>SUMIF(B$3:B$3844,B2007,M$3:M$3844)/(SUMIF(B$3:B$3844,B2007,J$3:J$3844))</f>
        <v>0.47853924590941427</v>
      </c>
      <c r="E2007" s="23">
        <v>16049442</v>
      </c>
      <c r="F2007" s="46" t="str">
        <f>"KEYS CENTER"</f>
        <v>KEYS CENTER</v>
      </c>
      <c r="G2007" s="23"/>
      <c r="H2007" s="23"/>
      <c r="I2007" s="41">
        <v>10</v>
      </c>
      <c r="J2007" s="41">
        <v>14</v>
      </c>
      <c r="K2007" s="118"/>
      <c r="L2007" s="119"/>
      <c r="M2007" s="110">
        <f>IF(L2007="",I2007,(MIN(J2007,(L2007*1.6*J2007))))</f>
        <v>10</v>
      </c>
      <c r="N2007" s="111">
        <f>IF(M2007=0,0,(M2007/J2007))</f>
        <v>0.7142857142857143</v>
      </c>
    </row>
    <row r="2008" spans="2:14">
      <c r="B2008" s="72">
        <v>127714</v>
      </c>
      <c r="C2008" s="47" t="str">
        <f>"MONROE"</f>
        <v>MONROE</v>
      </c>
      <c r="D2008" s="123">
        <f>SUMIF(B$3:B$3844,B2008,M$3:M$3844)/(SUMIF(B$3:B$3844,B2008,J$3:J$3844))</f>
        <v>0.47853924590941427</v>
      </c>
      <c r="E2008" s="47">
        <v>36487</v>
      </c>
      <c r="F2008" s="48" t="s">
        <v>2158</v>
      </c>
      <c r="G2008" s="47"/>
      <c r="H2008" s="47"/>
      <c r="I2008" s="40">
        <v>370</v>
      </c>
      <c r="J2008" s="40">
        <v>683</v>
      </c>
      <c r="K2008" s="118"/>
      <c r="L2008" s="119"/>
      <c r="M2008" s="110">
        <f>IF(L2008="",I2008,(MIN(J2008,(L2008*1.6*J2008))))</f>
        <v>370</v>
      </c>
      <c r="N2008" s="111">
        <f>IF(M2008=0,0,(M2008/J2008))</f>
        <v>0.54172767203513905</v>
      </c>
    </row>
    <row r="2009" spans="2:14">
      <c r="B2009" s="73">
        <v>127714</v>
      </c>
      <c r="C2009" s="23" t="str">
        <f>"MONROE"</f>
        <v>MONROE</v>
      </c>
      <c r="D2009" s="123">
        <f>SUMIF(B$3:B$3844,B2009,M$3:M$3844)/(SUMIF(B$3:B$3844,B2009,J$3:J$3844))</f>
        <v>0.47853924590941427</v>
      </c>
      <c r="E2009" s="23">
        <v>16071022</v>
      </c>
      <c r="F2009" s="46" t="s">
        <v>2159</v>
      </c>
      <c r="G2009" s="23"/>
      <c r="H2009" s="23"/>
      <c r="I2009" s="41"/>
      <c r="J2009" s="41">
        <v>0</v>
      </c>
      <c r="K2009" s="118"/>
      <c r="L2009" s="119"/>
      <c r="M2009" s="110">
        <f>IF(L2009="",I2009,(MIN(J2009,(L2009*1.6*J2009))))</f>
        <v>0</v>
      </c>
      <c r="N2009" s="111">
        <f>IF(M2009=0,0,(M2009/J2009))</f>
        <v>0</v>
      </c>
    </row>
    <row r="2010" spans="2:14">
      <c r="B2010" s="72">
        <v>127714</v>
      </c>
      <c r="C2010" s="47" t="str">
        <f>"MONROE"</f>
        <v>MONROE</v>
      </c>
      <c r="D2010" s="123">
        <f>SUMIF(B$3:B$3844,B2010,M$3:M$3844)/(SUMIF(B$3:B$3844,B2010,J$3:J$3844))</f>
        <v>0.47853924590941427</v>
      </c>
      <c r="E2010" s="47">
        <v>16084529</v>
      </c>
      <c r="F2010" s="48" t="str">
        <f>"OCEAN STUDIES CHARTER"</f>
        <v>OCEAN STUDIES CHARTER</v>
      </c>
      <c r="G2010" s="47"/>
      <c r="H2010" s="47"/>
      <c r="I2010" s="40">
        <v>2</v>
      </c>
      <c r="J2010" s="40">
        <v>105</v>
      </c>
      <c r="K2010" s="118"/>
      <c r="L2010" s="119"/>
      <c r="M2010" s="110">
        <f>IF(L2010="",I2010,(MIN(J2010,(L2010*1.6*J2010))))</f>
        <v>2</v>
      </c>
      <c r="N2010" s="111">
        <f>IF(M2010=0,0,(M2010/J2010))</f>
        <v>1.9047619047619049E-2</v>
      </c>
    </row>
    <row r="2011" spans="2:14">
      <c r="B2011" s="73">
        <v>127714</v>
      </c>
      <c r="C2011" s="23" t="str">
        <f>"MONROE"</f>
        <v>MONROE</v>
      </c>
      <c r="D2011" s="123">
        <f>SUMIF(B$3:B$3844,B2011,M$3:M$3844)/(SUMIF(B$3:B$3844,B2011,J$3:J$3844))</f>
        <v>0.47853924590941427</v>
      </c>
      <c r="E2011" s="23">
        <v>36598</v>
      </c>
      <c r="F2011" s="46" t="str">
        <f>"PLANTATION KEY SCHOOL"</f>
        <v>PLANTATION KEY SCHOOL</v>
      </c>
      <c r="G2011" s="23"/>
      <c r="H2011" s="23"/>
      <c r="I2011" s="41">
        <v>187</v>
      </c>
      <c r="J2011" s="41">
        <v>417</v>
      </c>
      <c r="K2011" s="118"/>
      <c r="L2011" s="119"/>
      <c r="M2011" s="110">
        <f>IF(L2011="",I2011,(MIN(J2011,(L2011*1.6*J2011))))</f>
        <v>187</v>
      </c>
      <c r="N2011" s="111">
        <f>IF(M2011=0,0,(M2011/J2011))</f>
        <v>0.44844124700239807</v>
      </c>
    </row>
    <row r="2012" spans="2:14">
      <c r="B2012" s="72">
        <v>127714</v>
      </c>
      <c r="C2012" s="47" t="str">
        <f>"MONROE"</f>
        <v>MONROE</v>
      </c>
      <c r="D2012" s="123">
        <f>SUMIF(B$3:B$3844,B2012,M$3:M$3844)/(SUMIF(B$3:B$3844,B2012,J$3:J$3844))</f>
        <v>0.47853924590941427</v>
      </c>
      <c r="E2012" s="47">
        <v>36478</v>
      </c>
      <c r="F2012" s="48" t="str">
        <f>"POINCIANA ELEMENTARY SCHOOL"</f>
        <v>POINCIANA ELEMENTARY SCHOOL</v>
      </c>
      <c r="G2012" s="47"/>
      <c r="H2012" s="47"/>
      <c r="I2012" s="40">
        <v>318</v>
      </c>
      <c r="J2012" s="40">
        <v>627</v>
      </c>
      <c r="K2012" s="118"/>
      <c r="L2012" s="119"/>
      <c r="M2012" s="110">
        <f>IF(L2012="",I2012,(MIN(J2012,(L2012*1.6*J2012))))</f>
        <v>318</v>
      </c>
      <c r="N2012" s="111">
        <f>IF(M2012=0,0,(M2012/J2012))</f>
        <v>0.50717703349282295</v>
      </c>
    </row>
    <row r="2013" spans="2:14">
      <c r="B2013" s="73">
        <v>127714</v>
      </c>
      <c r="C2013" s="23" t="str">
        <f>"MONROE"</f>
        <v>MONROE</v>
      </c>
      <c r="D2013" s="123">
        <f>SUMIF(B$3:B$3844,B2013,M$3:M$3844)/(SUMIF(B$3:B$3844,B2013,J$3:J$3844))</f>
        <v>0.47853924590941427</v>
      </c>
      <c r="E2013" s="23">
        <v>36472</v>
      </c>
      <c r="F2013" s="46" t="str">
        <f>"SIGSBEE CHARTER SCHOOL"</f>
        <v>SIGSBEE CHARTER SCHOOL</v>
      </c>
      <c r="G2013" s="23"/>
      <c r="H2013" s="23"/>
      <c r="I2013" s="41">
        <v>11</v>
      </c>
      <c r="J2013" s="41">
        <v>483</v>
      </c>
      <c r="K2013" s="118"/>
      <c r="L2013" s="119"/>
      <c r="M2013" s="110">
        <f>IF(L2013="",I2013,(MIN(J2013,(L2013*1.6*J2013))))</f>
        <v>11</v>
      </c>
      <c r="N2013" s="111">
        <f>IF(M2013=0,0,(M2013/J2013))</f>
        <v>2.2774327122153208E-2</v>
      </c>
    </row>
    <row r="2014" spans="2:14">
      <c r="B2014" s="72">
        <v>127714</v>
      </c>
      <c r="C2014" s="47" t="str">
        <f>"MONROE"</f>
        <v>MONROE</v>
      </c>
      <c r="D2014" s="123">
        <f>SUMIF(B$3:B$3844,B2014,M$3:M$3844)/(SUMIF(B$3:B$3844,B2014,J$3:J$3844))</f>
        <v>0.47853924590941427</v>
      </c>
      <c r="E2014" s="47">
        <v>36485</v>
      </c>
      <c r="F2014" s="48" t="s">
        <v>2160</v>
      </c>
      <c r="G2014" s="47"/>
      <c r="H2014" s="47"/>
      <c r="I2014" s="40">
        <v>353</v>
      </c>
      <c r="J2014" s="40">
        <v>572</v>
      </c>
      <c r="K2014" s="118"/>
      <c r="L2014" s="119"/>
      <c r="M2014" s="110">
        <f>IF(L2014="",I2014,(MIN(J2014,(L2014*1.6*J2014))))</f>
        <v>353</v>
      </c>
      <c r="N2014" s="111">
        <f>IF(M2014=0,0,(M2014/J2014))</f>
        <v>0.61713286713286708</v>
      </c>
    </row>
    <row r="2015" spans="2:14">
      <c r="B2015" s="73">
        <v>127714</v>
      </c>
      <c r="C2015" s="23" t="str">
        <f>"MONROE"</f>
        <v>MONROE</v>
      </c>
      <c r="D2015" s="123">
        <f>SUMIF(B$3:B$3844,B2015,M$3:M$3844)/(SUMIF(B$3:B$3844,B2015,J$3:J$3844))</f>
        <v>0.47853924590941427</v>
      </c>
      <c r="E2015" s="23">
        <v>36483</v>
      </c>
      <c r="F2015" s="46" t="s">
        <v>2161</v>
      </c>
      <c r="G2015" s="23"/>
      <c r="H2015" s="23"/>
      <c r="I2015" s="41">
        <v>237</v>
      </c>
      <c r="J2015" s="41">
        <v>546</v>
      </c>
      <c r="K2015" s="118"/>
      <c r="L2015" s="119"/>
      <c r="M2015" s="110">
        <f>IF(L2015="",I2015,(MIN(J2015,(L2015*1.6*J2015))))</f>
        <v>237</v>
      </c>
      <c r="N2015" s="111">
        <f>IF(M2015=0,0,(M2015/J2015))</f>
        <v>0.43406593406593408</v>
      </c>
    </row>
    <row r="2016" spans="2:14">
      <c r="B2016" s="72">
        <v>127714</v>
      </c>
      <c r="C2016" s="47" t="str">
        <f>"MONROE"</f>
        <v>MONROE</v>
      </c>
      <c r="D2016" s="123">
        <f>SUMIF(B$3:B$3844,B2016,M$3:M$3844)/(SUMIF(B$3:B$3844,B2016,J$3:J$3844))</f>
        <v>0.47853924590941427</v>
      </c>
      <c r="E2016" s="47">
        <v>201393</v>
      </c>
      <c r="F2016" s="48" t="s">
        <v>2162</v>
      </c>
      <c r="G2016" s="47"/>
      <c r="H2016" s="47"/>
      <c r="I2016" s="40">
        <v>24</v>
      </c>
      <c r="J2016" s="40">
        <v>220</v>
      </c>
      <c r="K2016" s="118"/>
      <c r="L2016" s="119"/>
      <c r="M2016" s="110">
        <f>IF(L2016="",I2016,(MIN(J2016,(L2016*1.6*J2016))))</f>
        <v>24</v>
      </c>
      <c r="N2016" s="111">
        <f>IF(M2016=0,0,(M2016/J2016))</f>
        <v>0.10909090909090909</v>
      </c>
    </row>
    <row r="2017" spans="2:14">
      <c r="B2017" s="73">
        <v>127548</v>
      </c>
      <c r="C2017" s="23" t="s">
        <v>956</v>
      </c>
      <c r="D2017" s="123">
        <f>SUMIF(B$3:B$3844,B2017,M$3:M$3844)/(SUMIF(B$3:B$3844,B2017,J$3:J$3844))</f>
        <v>0.51081868762695404</v>
      </c>
      <c r="E2017" s="23">
        <v>34739</v>
      </c>
      <c r="F2017" s="46" t="s">
        <v>957</v>
      </c>
      <c r="G2017" s="23"/>
      <c r="H2017" s="23"/>
      <c r="I2017" s="41">
        <v>98</v>
      </c>
      <c r="J2017" s="41">
        <v>188</v>
      </c>
      <c r="K2017" s="118"/>
      <c r="L2017" s="119"/>
      <c r="M2017" s="110">
        <f>IF(L2017="",I2017,(MIN(J2017,(L2017*1.6*J2017))))</f>
        <v>98</v>
      </c>
      <c r="N2017" s="111">
        <f>IF(M2017=0,0,(M2017/J2017))</f>
        <v>0.52127659574468088</v>
      </c>
    </row>
    <row r="2018" spans="2:14">
      <c r="B2018" s="72">
        <v>127548</v>
      </c>
      <c r="C2018" s="47" t="s">
        <v>956</v>
      </c>
      <c r="D2018" s="123">
        <f>SUMIF(B$3:B$3844,B2018,M$3:M$3844)/(SUMIF(B$3:B$3844,B2018,J$3:J$3844))</f>
        <v>0.51081868762695404</v>
      </c>
      <c r="E2018" s="47">
        <v>34740</v>
      </c>
      <c r="F2018" s="48" t="s">
        <v>958</v>
      </c>
      <c r="G2018" s="47"/>
      <c r="H2018" s="47"/>
      <c r="I2018" s="40">
        <v>357</v>
      </c>
      <c r="J2018" s="40">
        <v>598</v>
      </c>
      <c r="K2018" s="118"/>
      <c r="L2018" s="119"/>
      <c r="M2018" s="110">
        <f>IF(L2018="",I2018,(MIN(J2018,(L2018*1.6*J2018))))</f>
        <v>357</v>
      </c>
      <c r="N2018" s="111">
        <f>IF(M2018=0,0,(M2018/J2018))</f>
        <v>0.59698996655518399</v>
      </c>
    </row>
    <row r="2019" spans="2:14">
      <c r="B2019" s="73">
        <v>127548</v>
      </c>
      <c r="C2019" s="23" t="s">
        <v>956</v>
      </c>
      <c r="D2019" s="123">
        <f>SUMIF(B$3:B$3844,B2019,M$3:M$3844)/(SUMIF(B$3:B$3844,B2019,J$3:J$3844))</f>
        <v>0.51081868762695404</v>
      </c>
      <c r="E2019" s="23">
        <v>34743</v>
      </c>
      <c r="F2019" s="46" t="s">
        <v>959</v>
      </c>
      <c r="G2019" s="23"/>
      <c r="H2019" s="23"/>
      <c r="I2019" s="41">
        <v>352</v>
      </c>
      <c r="J2019" s="41">
        <v>580</v>
      </c>
      <c r="K2019" s="118"/>
      <c r="L2019" s="119"/>
      <c r="M2019" s="110">
        <f>IF(L2019="",I2019,(MIN(J2019,(L2019*1.6*J2019))))</f>
        <v>352</v>
      </c>
      <c r="N2019" s="111">
        <f>IF(M2019=0,0,(M2019/J2019))</f>
        <v>0.60689655172413792</v>
      </c>
    </row>
    <row r="2020" spans="2:14">
      <c r="B2020" s="72">
        <v>127548</v>
      </c>
      <c r="C2020" s="47" t="s">
        <v>956</v>
      </c>
      <c r="D2020" s="123">
        <f>SUMIF(B$3:B$3844,B2020,M$3:M$3844)/(SUMIF(B$3:B$3844,B2020,J$3:J$3844))</f>
        <v>0.51081868762695404</v>
      </c>
      <c r="E2020" s="47">
        <v>34744</v>
      </c>
      <c r="F2020" s="48" t="s">
        <v>960</v>
      </c>
      <c r="G2020" s="47"/>
      <c r="H2020" s="47"/>
      <c r="I2020" s="40">
        <v>410</v>
      </c>
      <c r="J2020" s="40">
        <v>742</v>
      </c>
      <c r="K2020" s="118"/>
      <c r="L2020" s="119"/>
      <c r="M2020" s="110">
        <f>IF(L2020="",I2020,(MIN(J2020,(L2020*1.6*J2020))))</f>
        <v>410</v>
      </c>
      <c r="N2020" s="111">
        <f>IF(M2020=0,0,(M2020/J2020))</f>
        <v>0.55256064690026951</v>
      </c>
    </row>
    <row r="2021" spans="2:14">
      <c r="B2021" s="73">
        <v>127548</v>
      </c>
      <c r="C2021" s="23" t="s">
        <v>956</v>
      </c>
      <c r="D2021" s="123">
        <f>SUMIF(B$3:B$3844,B2021,M$3:M$3844)/(SUMIF(B$3:B$3844,B2021,J$3:J$3844))</f>
        <v>0.51081868762695404</v>
      </c>
      <c r="E2021" s="23">
        <v>34761</v>
      </c>
      <c r="F2021" s="46" t="s">
        <v>961</v>
      </c>
      <c r="G2021" s="23"/>
      <c r="H2021" s="23"/>
      <c r="I2021" s="41">
        <v>289</v>
      </c>
      <c r="J2021" s="41">
        <v>583</v>
      </c>
      <c r="K2021" s="118"/>
      <c r="L2021" s="119"/>
      <c r="M2021" s="110">
        <f>IF(L2021="",I2021,(MIN(J2021,(L2021*1.6*J2021))))</f>
        <v>289</v>
      </c>
      <c r="N2021" s="111">
        <f>IF(M2021=0,0,(M2021/J2021))</f>
        <v>0.49571183533447682</v>
      </c>
    </row>
    <row r="2022" spans="2:14">
      <c r="B2022" s="72">
        <v>127548</v>
      </c>
      <c r="C2022" s="47" t="s">
        <v>956</v>
      </c>
      <c r="D2022" s="123">
        <f>SUMIF(B$3:B$3844,B2022,M$3:M$3844)/(SUMIF(B$3:B$3844,B2022,J$3:J$3844))</f>
        <v>0.51081868762695404</v>
      </c>
      <c r="E2022" s="47">
        <v>34756</v>
      </c>
      <c r="F2022" s="48" t="s">
        <v>962</v>
      </c>
      <c r="G2022" s="47"/>
      <c r="H2022" s="47"/>
      <c r="I2022" s="40">
        <v>323</v>
      </c>
      <c r="J2022" s="40">
        <v>927</v>
      </c>
      <c r="K2022" s="118"/>
      <c r="L2022" s="119"/>
      <c r="M2022" s="110">
        <f>IF(L2022="",I2022,(MIN(J2022,(L2022*1.6*J2022))))</f>
        <v>323</v>
      </c>
      <c r="N2022" s="111">
        <f>IF(M2022=0,0,(M2022/J2022))</f>
        <v>0.34843581445523192</v>
      </c>
    </row>
    <row r="2023" spans="2:14">
      <c r="B2023" s="73">
        <v>127548</v>
      </c>
      <c r="C2023" s="23" t="s">
        <v>956</v>
      </c>
      <c r="D2023" s="123">
        <f>SUMIF(B$3:B$3844,B2023,M$3:M$3844)/(SUMIF(B$3:B$3844,B2023,J$3:J$3844))</f>
        <v>0.51081868762695404</v>
      </c>
      <c r="E2023" s="23">
        <v>34755</v>
      </c>
      <c r="F2023" s="46" t="s">
        <v>963</v>
      </c>
      <c r="G2023" s="23"/>
      <c r="H2023" s="23"/>
      <c r="I2023" s="41">
        <v>274</v>
      </c>
      <c r="J2023" s="41">
        <v>642</v>
      </c>
      <c r="K2023" s="118"/>
      <c r="L2023" s="119"/>
      <c r="M2023" s="110">
        <f>IF(L2023="",I2023,(MIN(J2023,(L2023*1.6*J2023))))</f>
        <v>274</v>
      </c>
      <c r="N2023" s="111">
        <f>IF(M2023=0,0,(M2023/J2023))</f>
        <v>0.42679127725856697</v>
      </c>
    </row>
    <row r="2024" spans="2:14">
      <c r="B2024" s="72">
        <v>127548</v>
      </c>
      <c r="C2024" s="47" t="s">
        <v>956</v>
      </c>
      <c r="D2024" s="123">
        <f>SUMIF(B$3:B$3844,B2024,M$3:M$3844)/(SUMIF(B$3:B$3844,B2024,J$3:J$3844))</f>
        <v>0.51081868762695404</v>
      </c>
      <c r="E2024" s="47">
        <v>34774</v>
      </c>
      <c r="F2024" s="48" t="s">
        <v>964</v>
      </c>
      <c r="G2024" s="47"/>
      <c r="H2024" s="47"/>
      <c r="I2024" s="40">
        <v>489</v>
      </c>
      <c r="J2024" s="40">
        <v>735</v>
      </c>
      <c r="K2024" s="118"/>
      <c r="L2024" s="119"/>
      <c r="M2024" s="110">
        <f>IF(L2024="",I2024,(MIN(J2024,(L2024*1.6*J2024))))</f>
        <v>489</v>
      </c>
      <c r="N2024" s="111">
        <f>IF(M2024=0,0,(M2024/J2024))</f>
        <v>0.66530612244897958</v>
      </c>
    </row>
    <row r="2025" spans="2:14">
      <c r="B2025" s="73">
        <v>127548</v>
      </c>
      <c r="C2025" s="23" t="s">
        <v>956</v>
      </c>
      <c r="D2025" s="123">
        <f>SUMIF(B$3:B$3844,B2025,M$3:M$3844)/(SUMIF(B$3:B$3844,B2025,J$3:J$3844))</f>
        <v>0.51081868762695404</v>
      </c>
      <c r="E2025" s="23">
        <v>34775</v>
      </c>
      <c r="F2025" s="46" t="s">
        <v>965</v>
      </c>
      <c r="G2025" s="23"/>
      <c r="H2025" s="23"/>
      <c r="I2025" s="41">
        <v>408</v>
      </c>
      <c r="J2025" s="41">
        <v>745</v>
      </c>
      <c r="K2025" s="118"/>
      <c r="L2025" s="119"/>
      <c r="M2025" s="110">
        <f>IF(L2025="",I2025,(MIN(J2025,(L2025*1.6*J2025))))</f>
        <v>408</v>
      </c>
      <c r="N2025" s="111">
        <f>IF(M2025=0,0,(M2025/J2025))</f>
        <v>0.54765100671140943</v>
      </c>
    </row>
    <row r="2026" spans="2:14">
      <c r="B2026" s="72">
        <v>127548</v>
      </c>
      <c r="C2026" s="47" t="s">
        <v>956</v>
      </c>
      <c r="D2026" s="123">
        <f>SUMIF(B$3:B$3844,B2026,M$3:M$3844)/(SUMIF(B$3:B$3844,B2026,J$3:J$3844))</f>
        <v>0.51081868762695404</v>
      </c>
      <c r="E2026" s="47">
        <v>127548</v>
      </c>
      <c r="F2026" s="48" t="s">
        <v>966</v>
      </c>
      <c r="G2026" s="47"/>
      <c r="H2026" s="47"/>
      <c r="I2026" s="40"/>
      <c r="J2026" s="40"/>
      <c r="K2026" s="118"/>
      <c r="L2026" s="119"/>
      <c r="M2026" s="110">
        <f>IF(L2026="",I2026,(MIN(J2026,(L2026*1.6*J2026))))</f>
        <v>0</v>
      </c>
      <c r="N2026" s="111">
        <f>IF(M2026=0,0,(M2026/J2026))</f>
        <v>0</v>
      </c>
    </row>
    <row r="2027" spans="2:14">
      <c r="B2027" s="73">
        <v>127548</v>
      </c>
      <c r="C2027" s="23" t="s">
        <v>956</v>
      </c>
      <c r="D2027" s="123">
        <f>SUMIF(B$3:B$3844,B2027,M$3:M$3844)/(SUMIF(B$3:B$3844,B2027,J$3:J$3844))</f>
        <v>0.51081868762695404</v>
      </c>
      <c r="E2027" s="23">
        <v>34759</v>
      </c>
      <c r="F2027" s="46" t="s">
        <v>462</v>
      </c>
      <c r="G2027" s="23"/>
      <c r="H2027" s="23"/>
      <c r="I2027" s="41">
        <v>311</v>
      </c>
      <c r="J2027" s="41">
        <v>527</v>
      </c>
      <c r="K2027" s="118"/>
      <c r="L2027" s="119"/>
      <c r="M2027" s="110">
        <f>IF(L2027="",I2027,(MIN(J2027,(L2027*1.6*J2027))))</f>
        <v>311</v>
      </c>
      <c r="N2027" s="111">
        <f>IF(M2027=0,0,(M2027/J2027))</f>
        <v>0.59013282732447814</v>
      </c>
    </row>
    <row r="2028" spans="2:14">
      <c r="B2028" s="72">
        <v>127548</v>
      </c>
      <c r="C2028" s="47" t="s">
        <v>956</v>
      </c>
      <c r="D2028" s="123">
        <f>SUMIF(B$3:B$3844,B2028,M$3:M$3844)/(SUMIF(B$3:B$3844,B2028,J$3:J$3844))</f>
        <v>0.51081868762695404</v>
      </c>
      <c r="E2028" s="47">
        <v>34742</v>
      </c>
      <c r="F2028" s="48" t="s">
        <v>967</v>
      </c>
      <c r="G2028" s="47"/>
      <c r="H2028" s="47"/>
      <c r="I2028" s="40">
        <v>437</v>
      </c>
      <c r="J2028" s="40">
        <v>1018</v>
      </c>
      <c r="K2028" s="118"/>
      <c r="L2028" s="119"/>
      <c r="M2028" s="110">
        <f>IF(L2028="",I2028,(MIN(J2028,(L2028*1.6*J2028))))</f>
        <v>437</v>
      </c>
      <c r="N2028" s="111">
        <f>IF(M2028=0,0,(M2028/J2028))</f>
        <v>0.42927308447937129</v>
      </c>
    </row>
    <row r="2029" spans="2:14">
      <c r="B2029" s="73">
        <v>127548</v>
      </c>
      <c r="C2029" s="23" t="s">
        <v>956</v>
      </c>
      <c r="D2029" s="123">
        <f>SUMIF(B$3:B$3844,B2029,M$3:M$3844)/(SUMIF(B$3:B$3844,B2029,J$3:J$3844))</f>
        <v>0.51081868762695404</v>
      </c>
      <c r="E2029" s="23">
        <v>34766</v>
      </c>
      <c r="F2029" s="46" t="s">
        <v>968</v>
      </c>
      <c r="G2029" s="23"/>
      <c r="H2029" s="23"/>
      <c r="I2029" s="41">
        <v>449</v>
      </c>
      <c r="J2029" s="41">
        <v>873</v>
      </c>
      <c r="K2029" s="118"/>
      <c r="L2029" s="119"/>
      <c r="M2029" s="110">
        <f>IF(L2029="",I2029,(MIN(J2029,(L2029*1.6*J2029))))</f>
        <v>449</v>
      </c>
      <c r="N2029" s="111">
        <f>IF(M2029=0,0,(M2029/J2029))</f>
        <v>0.51431844215349365</v>
      </c>
    </row>
    <row r="2030" spans="2:14">
      <c r="B2030" s="72">
        <v>127548</v>
      </c>
      <c r="C2030" s="47" t="s">
        <v>956</v>
      </c>
      <c r="D2030" s="123">
        <f>SUMIF(B$3:B$3844,B2030,M$3:M$3844)/(SUMIF(B$3:B$3844,B2030,J$3:J$3844))</f>
        <v>0.51081868762695404</v>
      </c>
      <c r="E2030" s="47">
        <v>16044448</v>
      </c>
      <c r="F2030" s="48" t="s">
        <v>969</v>
      </c>
      <c r="G2030" s="47"/>
      <c r="H2030" s="47"/>
      <c r="I2030" s="40">
        <v>535</v>
      </c>
      <c r="J2030" s="40">
        <v>1212</v>
      </c>
      <c r="K2030" s="118"/>
      <c r="L2030" s="119"/>
      <c r="M2030" s="110">
        <f>IF(L2030="",I2030,(MIN(J2030,(L2030*1.6*J2030))))</f>
        <v>535</v>
      </c>
      <c r="N2030" s="111">
        <f>IF(M2030=0,0,(M2030/J2030))</f>
        <v>0.4414191419141914</v>
      </c>
    </row>
    <row r="2031" spans="2:14">
      <c r="B2031" s="73">
        <v>127548</v>
      </c>
      <c r="C2031" s="23" t="s">
        <v>956</v>
      </c>
      <c r="D2031" s="123">
        <f>SUMIF(B$3:B$3844,B2031,M$3:M$3844)/(SUMIF(B$3:B$3844,B2031,J$3:J$3844))</f>
        <v>0.51081868762695404</v>
      </c>
      <c r="E2031" s="23">
        <v>34767</v>
      </c>
      <c r="F2031" s="46" t="s">
        <v>970</v>
      </c>
      <c r="G2031" s="23"/>
      <c r="H2031" s="23"/>
      <c r="I2031" s="41">
        <v>508</v>
      </c>
      <c r="J2031" s="41">
        <v>953</v>
      </c>
      <c r="K2031" s="118"/>
      <c r="L2031" s="119"/>
      <c r="M2031" s="110">
        <f>IF(L2031="",I2031,(MIN(J2031,(L2031*1.6*J2031))))</f>
        <v>508</v>
      </c>
      <c r="N2031" s="111">
        <f>IF(M2031=0,0,(M2031/J2031))</f>
        <v>0.53305351521511013</v>
      </c>
    </row>
    <row r="2032" spans="2:14">
      <c r="B2032" s="72">
        <v>127548</v>
      </c>
      <c r="C2032" s="47" t="s">
        <v>956</v>
      </c>
      <c r="D2032" s="123">
        <f>SUMIF(B$3:B$3844,B2032,M$3:M$3844)/(SUMIF(B$3:B$3844,B2032,J$3:J$3844))</f>
        <v>0.51081868762695404</v>
      </c>
      <c r="E2032" s="47">
        <v>34885</v>
      </c>
      <c r="F2032" s="48" t="s">
        <v>971</v>
      </c>
      <c r="G2032" s="47"/>
      <c r="H2032" s="47"/>
      <c r="I2032" s="40">
        <v>544</v>
      </c>
      <c r="J2032" s="40">
        <v>1000</v>
      </c>
      <c r="K2032" s="118"/>
      <c r="L2032" s="119"/>
      <c r="M2032" s="110">
        <f>IF(L2032="",I2032,(MIN(J2032,(L2032*1.6*J2032))))</f>
        <v>544</v>
      </c>
      <c r="N2032" s="111">
        <f>IF(M2032=0,0,(M2032/J2032))</f>
        <v>0.54400000000000004</v>
      </c>
    </row>
    <row r="2033" spans="2:14">
      <c r="B2033" s="73">
        <v>127648</v>
      </c>
      <c r="C2033" s="23" t="s">
        <v>2163</v>
      </c>
      <c r="D2033" s="123">
        <f>SUMIF(B$3:B$3844,B2033,M$3:M$3844)/(SUMIF(B$3:B$3844,B2033,J$3:J$3844))</f>
        <v>0.45434028362582951</v>
      </c>
      <c r="E2033" s="23">
        <v>35657</v>
      </c>
      <c r="F2033" s="46" t="str">
        <f>"ADDIE R. LEWIS SCHOOL"</f>
        <v>ADDIE R. LEWIS SCHOOL</v>
      </c>
      <c r="G2033" s="23"/>
      <c r="H2033" s="23"/>
      <c r="I2033" s="41">
        <v>278</v>
      </c>
      <c r="J2033" s="41">
        <v>614</v>
      </c>
      <c r="K2033" s="118"/>
      <c r="L2033" s="119"/>
      <c r="M2033" s="110">
        <f>IF(L2033="",I2033,(MIN(J2033,(L2033*1.6*J2033))))</f>
        <v>278</v>
      </c>
      <c r="N2033" s="111">
        <f>IF(M2033=0,0,(M2033/J2033))</f>
        <v>0.45276872964169379</v>
      </c>
    </row>
    <row r="2034" spans="2:14">
      <c r="B2034" s="72">
        <v>127648</v>
      </c>
      <c r="C2034" s="47" t="s">
        <v>2163</v>
      </c>
      <c r="D2034" s="123">
        <f>SUMIF(B$3:B$3844,B2034,M$3:M$3844)/(SUMIF(B$3:B$3844,B2034,J$3:J$3844))</f>
        <v>0.45434028362582951</v>
      </c>
      <c r="E2034" s="47">
        <v>16022600</v>
      </c>
      <c r="F2034" s="48" t="str">
        <f>"ADJUDICATED YOUTH FACILITY"</f>
        <v>ADJUDICATED YOUTH FACILITY</v>
      </c>
      <c r="G2034" s="47"/>
      <c r="H2034" s="47"/>
      <c r="I2034" s="40">
        <v>1</v>
      </c>
      <c r="J2034" s="40">
        <v>14</v>
      </c>
      <c r="K2034" s="118"/>
      <c r="L2034" s="119"/>
      <c r="M2034" s="110">
        <f>IF(L2034="",I2034,(MIN(J2034,(L2034*1.6*J2034))))</f>
        <v>1</v>
      </c>
      <c r="N2034" s="111">
        <f>IF(M2034=0,0,(M2034/J2034))</f>
        <v>7.1428571428571425E-2</v>
      </c>
    </row>
    <row r="2035" spans="2:14">
      <c r="B2035" s="73">
        <v>127648</v>
      </c>
      <c r="C2035" s="23" t="s">
        <v>2163</v>
      </c>
      <c r="D2035" s="123">
        <f>SUMIF(B$3:B$3844,B2035,M$3:M$3844)/(SUMIF(B$3:B$3844,B2035,J$3:J$3844))</f>
        <v>0.45434028362582951</v>
      </c>
      <c r="E2035" s="23">
        <v>212386</v>
      </c>
      <c r="F2035" s="46" t="str">
        <f>"AMI KIDS EMERALD COAST"</f>
        <v>AMI KIDS EMERALD COAST</v>
      </c>
      <c r="G2035" s="23"/>
      <c r="H2035" s="23"/>
      <c r="I2035" s="41">
        <v>9</v>
      </c>
      <c r="J2035" s="41">
        <v>26</v>
      </c>
      <c r="K2035" s="118"/>
      <c r="L2035" s="119"/>
      <c r="M2035" s="110">
        <f>IF(L2035="",I2035,(MIN(J2035,(L2035*1.6*J2035))))</f>
        <v>9</v>
      </c>
      <c r="N2035" s="111">
        <f>IF(M2035=0,0,(M2035/J2035))</f>
        <v>0.34615384615384615</v>
      </c>
    </row>
    <row r="2036" spans="2:14">
      <c r="B2036" s="72">
        <v>127648</v>
      </c>
      <c r="C2036" s="47" t="s">
        <v>2163</v>
      </c>
      <c r="D2036" s="123">
        <f>SUMIF(B$3:B$3844,B2036,M$3:M$3844)/(SUMIF(B$3:B$3844,B2036,J$3:J$3844))</f>
        <v>0.45434028362582951</v>
      </c>
      <c r="E2036" s="47">
        <v>35600</v>
      </c>
      <c r="F2036" s="48" t="s">
        <v>2164</v>
      </c>
      <c r="G2036" s="47"/>
      <c r="H2036" s="47"/>
      <c r="I2036" s="40">
        <v>344</v>
      </c>
      <c r="J2036" s="40">
        <v>459</v>
      </c>
      <c r="K2036" s="118"/>
      <c r="L2036" s="119"/>
      <c r="M2036" s="110">
        <f>IF(L2036="",I2036,(MIN(J2036,(L2036*1.6*J2036))))</f>
        <v>344</v>
      </c>
      <c r="N2036" s="111">
        <f>IF(M2036=0,0,(M2036/J2036))</f>
        <v>0.74945533769063177</v>
      </c>
    </row>
    <row r="2037" spans="2:14">
      <c r="B2037" s="73">
        <v>127648</v>
      </c>
      <c r="C2037" s="23" t="s">
        <v>2163</v>
      </c>
      <c r="D2037" s="123">
        <f>SUMIF(B$3:B$3844,B2037,M$3:M$3844)/(SUMIF(B$3:B$3844,B2037,J$3:J$3844))</f>
        <v>0.45434028362582951</v>
      </c>
      <c r="E2037" s="23">
        <v>35578</v>
      </c>
      <c r="F2037" s="46" t="str">
        <f>"ANTIOCH ELEMENTARY SCHOOL"</f>
        <v>ANTIOCH ELEMENTARY SCHOOL</v>
      </c>
      <c r="G2037" s="23"/>
      <c r="H2037" s="23"/>
      <c r="I2037" s="41">
        <v>322</v>
      </c>
      <c r="J2037" s="41">
        <v>891</v>
      </c>
      <c r="K2037" s="118"/>
      <c r="L2037" s="119"/>
      <c r="M2037" s="110">
        <f>IF(L2037="",I2037,(MIN(J2037,(L2037*1.6*J2037))))</f>
        <v>322</v>
      </c>
      <c r="N2037" s="111">
        <f>IF(M2037=0,0,(M2037/J2037))</f>
        <v>0.36139169472502808</v>
      </c>
    </row>
    <row r="2038" spans="2:14">
      <c r="B2038" s="72">
        <v>127648</v>
      </c>
      <c r="C2038" s="47" t="s">
        <v>2163</v>
      </c>
      <c r="D2038" s="123">
        <f>SUMIF(B$3:B$3844,B2038,M$3:M$3844)/(SUMIF(B$3:B$3844,B2038,J$3:J$3844))</f>
        <v>0.45434028362582951</v>
      </c>
      <c r="E2038" s="47">
        <v>35558</v>
      </c>
      <c r="F2038" s="48" t="str">
        <f>"BAKER SCHOOL"</f>
        <v>BAKER SCHOOL</v>
      </c>
      <c r="G2038" s="47"/>
      <c r="H2038" s="47"/>
      <c r="I2038" s="40">
        <v>697</v>
      </c>
      <c r="J2038" s="40">
        <v>1392</v>
      </c>
      <c r="K2038" s="118"/>
      <c r="L2038" s="119"/>
      <c r="M2038" s="110">
        <f>IF(L2038="",I2038,(MIN(J2038,(L2038*1.6*J2038))))</f>
        <v>697</v>
      </c>
      <c r="N2038" s="111">
        <f>IF(M2038=0,0,(M2038/J2038))</f>
        <v>0.50071839080459768</v>
      </c>
    </row>
    <row r="2039" spans="2:14">
      <c r="B2039" s="73">
        <v>127648</v>
      </c>
      <c r="C2039" s="23" t="s">
        <v>2163</v>
      </c>
      <c r="D2039" s="123">
        <f>SUMIF(B$3:B$3844,B2039,M$3:M$3844)/(SUMIF(B$3:B$3844,B2039,J$3:J$3844))</f>
        <v>0.45434028362582951</v>
      </c>
      <c r="E2039" s="23">
        <v>35652</v>
      </c>
      <c r="F2039" s="46" t="str">
        <f>"BLUEWATER ELEMENTARY SCHOOL"</f>
        <v>BLUEWATER ELEMENTARY SCHOOL</v>
      </c>
      <c r="G2039" s="23"/>
      <c r="H2039" s="23"/>
      <c r="I2039" s="41">
        <v>138</v>
      </c>
      <c r="J2039" s="41">
        <v>894</v>
      </c>
      <c r="K2039" s="118"/>
      <c r="L2039" s="119"/>
      <c r="M2039" s="110">
        <f>IF(L2039="",I2039,(MIN(J2039,(L2039*1.6*J2039))))</f>
        <v>138</v>
      </c>
      <c r="N2039" s="111">
        <f>IF(M2039=0,0,(M2039/J2039))</f>
        <v>0.15436241610738255</v>
      </c>
    </row>
    <row r="2040" spans="2:14">
      <c r="B2040" s="72">
        <v>127648</v>
      </c>
      <c r="C2040" s="47" t="s">
        <v>2163</v>
      </c>
      <c r="D2040" s="123">
        <f>SUMIF(B$3:B$3844,B2040,M$3:M$3844)/(SUMIF(B$3:B$3844,B2040,J$3:J$3844))</f>
        <v>0.45434028362582951</v>
      </c>
      <c r="E2040" s="47">
        <v>35572</v>
      </c>
      <c r="F2040" s="48" t="str">
        <f>"BOB SIKES ELEMENTARY SCHOOL"</f>
        <v>BOB SIKES ELEMENTARY SCHOOL</v>
      </c>
      <c r="G2040" s="47"/>
      <c r="H2040" s="47"/>
      <c r="I2040" s="40">
        <v>365</v>
      </c>
      <c r="J2040" s="40">
        <v>756</v>
      </c>
      <c r="K2040" s="118"/>
      <c r="L2040" s="119"/>
      <c r="M2040" s="110">
        <f>IF(L2040="",I2040,(MIN(J2040,(L2040*1.6*J2040))))</f>
        <v>365</v>
      </c>
      <c r="N2040" s="111">
        <f>IF(M2040=0,0,(M2040/J2040))</f>
        <v>0.48280423280423279</v>
      </c>
    </row>
    <row r="2041" spans="2:14">
      <c r="B2041" s="73">
        <v>127648</v>
      </c>
      <c r="C2041" s="23" t="s">
        <v>2163</v>
      </c>
      <c r="D2041" s="123">
        <f>SUMIF(B$3:B$3844,B2041,M$3:M$3844)/(SUMIF(B$3:B$3844,B2041,J$3:J$3844))</f>
        <v>0.45434028362582951</v>
      </c>
      <c r="E2041" s="23">
        <v>35649</v>
      </c>
      <c r="F2041" s="46" t="str">
        <f>"C. W. RUCKEL MIDDLE SCHOOL"</f>
        <v>C. W. RUCKEL MIDDLE SCHOOL</v>
      </c>
      <c r="G2041" s="23"/>
      <c r="H2041" s="23"/>
      <c r="I2041" s="41">
        <v>210</v>
      </c>
      <c r="J2041" s="41">
        <v>1012</v>
      </c>
      <c r="K2041" s="118"/>
      <c r="L2041" s="119"/>
      <c r="M2041" s="110">
        <f>IF(L2041="",I2041,(MIN(J2041,(L2041*1.6*J2041))))</f>
        <v>210</v>
      </c>
      <c r="N2041" s="111">
        <f>IF(M2041=0,0,(M2041/J2041))</f>
        <v>0.2075098814229249</v>
      </c>
    </row>
    <row r="2042" spans="2:14">
      <c r="B2042" s="72">
        <v>127648</v>
      </c>
      <c r="C2042" s="47" t="s">
        <v>2163</v>
      </c>
      <c r="D2042" s="123">
        <f>SUMIF(B$3:B$3844,B2042,M$3:M$3844)/(SUMIF(B$3:B$3844,B2042,J$3:J$3844))</f>
        <v>0.45434028362582951</v>
      </c>
      <c r="E2042" s="47">
        <v>35590</v>
      </c>
      <c r="F2042" s="48" t="s">
        <v>2165</v>
      </c>
      <c r="G2042" s="47"/>
      <c r="H2042" s="47"/>
      <c r="I2042" s="40">
        <v>655</v>
      </c>
      <c r="J2042" s="40">
        <v>1615</v>
      </c>
      <c r="K2042" s="118"/>
      <c r="L2042" s="119"/>
      <c r="M2042" s="110">
        <f>IF(L2042="",I2042,(MIN(J2042,(L2042*1.6*J2042))))</f>
        <v>655</v>
      </c>
      <c r="N2042" s="111">
        <f>IF(M2042=0,0,(M2042/J2042))</f>
        <v>0.40557275541795668</v>
      </c>
    </row>
    <row r="2043" spans="2:14">
      <c r="B2043" s="73">
        <v>127648</v>
      </c>
      <c r="C2043" s="23" t="s">
        <v>2163</v>
      </c>
      <c r="D2043" s="123">
        <f>SUMIF(B$3:B$3844,B2043,M$3:M$3844)/(SUMIF(B$3:B$3844,B2043,J$3:J$3844))</f>
        <v>0.45434028362582951</v>
      </c>
      <c r="E2043" s="23">
        <v>35653</v>
      </c>
      <c r="F2043" s="46" t="str">
        <f>"CLIFFORD MEIGS MIDDLE SCHOOL"</f>
        <v>CLIFFORD MEIGS MIDDLE SCHOOL</v>
      </c>
      <c r="G2043" s="23"/>
      <c r="H2043" s="23"/>
      <c r="I2043" s="41">
        <v>289</v>
      </c>
      <c r="J2043" s="41">
        <v>576</v>
      </c>
      <c r="K2043" s="118"/>
      <c r="L2043" s="119"/>
      <c r="M2043" s="110">
        <f>IF(L2043="",I2043,(MIN(J2043,(L2043*1.6*J2043))))</f>
        <v>289</v>
      </c>
      <c r="N2043" s="111">
        <f>IF(M2043=0,0,(M2043/J2043))</f>
        <v>0.50173611111111116</v>
      </c>
    </row>
    <row r="2044" spans="2:14">
      <c r="B2044" s="72">
        <v>127648</v>
      </c>
      <c r="C2044" s="47" t="s">
        <v>2163</v>
      </c>
      <c r="D2044" s="123">
        <f>SUMIF(B$3:B$3844,B2044,M$3:M$3844)/(SUMIF(B$3:B$3844,B2044,J$3:J$3844))</f>
        <v>0.45434028362582951</v>
      </c>
      <c r="E2044" s="47">
        <v>35573</v>
      </c>
      <c r="F2044" s="48" t="str">
        <f>"CRESTVIEW HIGH SCHOOL"</f>
        <v>CRESTVIEW HIGH SCHOOL</v>
      </c>
      <c r="G2044" s="47"/>
      <c r="H2044" s="47"/>
      <c r="I2044" s="40">
        <v>769</v>
      </c>
      <c r="J2044" s="40">
        <v>1973</v>
      </c>
      <c r="K2044" s="118"/>
      <c r="L2044" s="119"/>
      <c r="M2044" s="110">
        <f>IF(L2044="",I2044,(MIN(J2044,(L2044*1.6*J2044))))</f>
        <v>769</v>
      </c>
      <c r="N2044" s="111">
        <f>IF(M2044=0,0,(M2044/J2044))</f>
        <v>0.3897617840851495</v>
      </c>
    </row>
    <row r="2045" spans="2:14">
      <c r="B2045" s="73">
        <v>127648</v>
      </c>
      <c r="C2045" s="23" t="s">
        <v>2163</v>
      </c>
      <c r="D2045" s="123">
        <f>SUMIF(B$3:B$3844,B2045,M$3:M$3844)/(SUMIF(B$3:B$3844,B2045,J$3:J$3844))</f>
        <v>0.45434028362582951</v>
      </c>
      <c r="E2045" s="23">
        <v>35577</v>
      </c>
      <c r="F2045" s="46" t="str">
        <f>"DAVIDSON MIDDLE SCHOOL"</f>
        <v>DAVIDSON MIDDLE SCHOOL</v>
      </c>
      <c r="G2045" s="23"/>
      <c r="H2045" s="23"/>
      <c r="I2045" s="41">
        <v>501</v>
      </c>
      <c r="J2045" s="41">
        <v>952</v>
      </c>
      <c r="K2045" s="118"/>
      <c r="L2045" s="119"/>
      <c r="M2045" s="110">
        <f>IF(L2045="",I2045,(MIN(J2045,(L2045*1.6*J2045))))</f>
        <v>501</v>
      </c>
      <c r="N2045" s="111">
        <f>IF(M2045=0,0,(M2045/J2045))</f>
        <v>0.52626050420168069</v>
      </c>
    </row>
    <row r="2046" spans="2:14">
      <c r="B2046" s="72">
        <v>127648</v>
      </c>
      <c r="C2046" s="47" t="s">
        <v>2163</v>
      </c>
      <c r="D2046" s="123">
        <f>SUMIF(B$3:B$3844,B2046,M$3:M$3844)/(SUMIF(B$3:B$3844,B2046,J$3:J$3844))</f>
        <v>0.45434028362582951</v>
      </c>
      <c r="E2046" s="47">
        <v>35585</v>
      </c>
      <c r="F2046" s="48" t="str">
        <f>"DESTIN ELEMENTARY SCHOOL"</f>
        <v>DESTIN ELEMENTARY SCHOOL</v>
      </c>
      <c r="G2046" s="47"/>
      <c r="H2046" s="47"/>
      <c r="I2046" s="40">
        <v>350</v>
      </c>
      <c r="J2046" s="40">
        <v>866</v>
      </c>
      <c r="K2046" s="118"/>
      <c r="L2046" s="119"/>
      <c r="M2046" s="110">
        <f>IF(L2046="",I2046,(MIN(J2046,(L2046*1.6*J2046))))</f>
        <v>350</v>
      </c>
      <c r="N2046" s="111">
        <f>IF(M2046=0,0,(M2046/J2046))</f>
        <v>0.40415704387990764</v>
      </c>
    </row>
    <row r="2047" spans="2:14">
      <c r="B2047" s="73">
        <v>127648</v>
      </c>
      <c r="C2047" s="23" t="s">
        <v>2163</v>
      </c>
      <c r="D2047" s="123">
        <f>SUMIF(B$3:B$3844,B2047,M$3:M$3844)/(SUMIF(B$3:B$3844,B2047,J$3:J$3844))</f>
        <v>0.45434028362582951</v>
      </c>
      <c r="E2047" s="23">
        <v>35583</v>
      </c>
      <c r="F2047" s="46" t="str">
        <f>"DESTIN MIDDLE SCHOOL"</f>
        <v>DESTIN MIDDLE SCHOOL</v>
      </c>
      <c r="G2047" s="23"/>
      <c r="H2047" s="23"/>
      <c r="I2047" s="41">
        <v>203</v>
      </c>
      <c r="J2047" s="41">
        <v>707</v>
      </c>
      <c r="K2047" s="118"/>
      <c r="L2047" s="119"/>
      <c r="M2047" s="110">
        <f>IF(L2047="",I2047,(MIN(J2047,(L2047*1.6*J2047))))</f>
        <v>203</v>
      </c>
      <c r="N2047" s="111">
        <f>IF(M2047=0,0,(M2047/J2047))</f>
        <v>0.28712871287128711</v>
      </c>
    </row>
    <row r="2048" spans="2:14">
      <c r="B2048" s="72">
        <v>127648</v>
      </c>
      <c r="C2048" s="47" t="s">
        <v>2163</v>
      </c>
      <c r="D2048" s="123">
        <f>SUMIF(B$3:B$3844,B2048,M$3:M$3844)/(SUMIF(B$3:B$3844,B2048,J$3:J$3844))</f>
        <v>0.45434028362582951</v>
      </c>
      <c r="E2048" s="47">
        <v>35587</v>
      </c>
      <c r="F2048" s="48" t="str">
        <f>"EGLIN ELEMENTARY SCHOOL"</f>
        <v>EGLIN ELEMENTARY SCHOOL</v>
      </c>
      <c r="G2048" s="47"/>
      <c r="H2048" s="47"/>
      <c r="I2048" s="40">
        <v>124</v>
      </c>
      <c r="J2048" s="40">
        <v>482</v>
      </c>
      <c r="K2048" s="118"/>
      <c r="L2048" s="119"/>
      <c r="M2048" s="110">
        <f>IF(L2048="",I2048,(MIN(J2048,(L2048*1.6*J2048))))</f>
        <v>124</v>
      </c>
      <c r="N2048" s="111">
        <f>IF(M2048=0,0,(M2048/J2048))</f>
        <v>0.25726141078838172</v>
      </c>
    </row>
    <row r="2049" spans="2:14">
      <c r="B2049" s="73">
        <v>127648</v>
      </c>
      <c r="C2049" s="23" t="s">
        <v>2163</v>
      </c>
      <c r="D2049" s="123">
        <f>SUMIF(B$3:B$3844,B2049,M$3:M$3844)/(SUMIF(B$3:B$3844,B2049,J$3:J$3844))</f>
        <v>0.45434028362582951</v>
      </c>
      <c r="E2049" s="23">
        <v>35602</v>
      </c>
      <c r="F2049" s="46" t="s">
        <v>2166</v>
      </c>
      <c r="G2049" s="23"/>
      <c r="H2049" s="23"/>
      <c r="I2049" s="41">
        <v>444</v>
      </c>
      <c r="J2049" s="41">
        <v>612</v>
      </c>
      <c r="K2049" s="118"/>
      <c r="L2049" s="119"/>
      <c r="M2049" s="110">
        <f>IF(L2049="",I2049,(MIN(J2049,(L2049*1.6*J2049))))</f>
        <v>444</v>
      </c>
      <c r="N2049" s="111">
        <f>IF(M2049=0,0,(M2049/J2049))</f>
        <v>0.72549019607843135</v>
      </c>
    </row>
    <row r="2050" spans="2:14">
      <c r="B2050" s="72">
        <v>127648</v>
      </c>
      <c r="C2050" s="47" t="s">
        <v>2163</v>
      </c>
      <c r="D2050" s="123">
        <f>SUMIF(B$3:B$3844,B2050,M$3:M$3844)/(SUMIF(B$3:B$3844,B2050,J$3:J$3844))</f>
        <v>0.45434028362582951</v>
      </c>
      <c r="E2050" s="47">
        <v>35622</v>
      </c>
      <c r="F2050" s="48" t="str">
        <f>"FLOROSA ELEMENTARY SCHOOL"</f>
        <v>FLOROSA ELEMENTARY SCHOOL</v>
      </c>
      <c r="G2050" s="47"/>
      <c r="H2050" s="47"/>
      <c r="I2050" s="40">
        <v>326</v>
      </c>
      <c r="J2050" s="40">
        <v>527</v>
      </c>
      <c r="K2050" s="118"/>
      <c r="L2050" s="119"/>
      <c r="M2050" s="110">
        <f>IF(L2050="",I2050,(MIN(J2050,(L2050*1.6*J2050))))</f>
        <v>326</v>
      </c>
      <c r="N2050" s="111">
        <f>IF(M2050=0,0,(M2050/J2050))</f>
        <v>0.61859582542694502</v>
      </c>
    </row>
    <row r="2051" spans="2:14">
      <c r="B2051" s="73">
        <v>127648</v>
      </c>
      <c r="C2051" s="23" t="s">
        <v>2163</v>
      </c>
      <c r="D2051" s="123">
        <f>SUMIF(B$3:B$3844,B2051,M$3:M$3844)/(SUMIF(B$3:B$3844,B2051,J$3:J$3844))</f>
        <v>0.45434028362582951</v>
      </c>
      <c r="E2051" s="23">
        <v>35599</v>
      </c>
      <c r="F2051" s="46" t="str">
        <f>"FORT WALTON BEACH HIGH SCHOOL"</f>
        <v>FORT WALTON BEACH HIGH SCHOOL</v>
      </c>
      <c r="G2051" s="23"/>
      <c r="H2051" s="23"/>
      <c r="I2051" s="41">
        <v>588</v>
      </c>
      <c r="J2051" s="41">
        <v>1638</v>
      </c>
      <c r="K2051" s="118"/>
      <c r="L2051" s="119"/>
      <c r="M2051" s="110">
        <f>IF(L2051="",I2051,(MIN(J2051,(L2051*1.6*J2051))))</f>
        <v>588</v>
      </c>
      <c r="N2051" s="111">
        <f>IF(M2051=0,0,(M2051/J2051))</f>
        <v>0.35897435897435898</v>
      </c>
    </row>
    <row r="2052" spans="2:14">
      <c r="B2052" s="72">
        <v>127648</v>
      </c>
      <c r="C2052" s="47" t="s">
        <v>2163</v>
      </c>
      <c r="D2052" s="123">
        <f>SUMIF(B$3:B$3844,B2052,M$3:M$3844)/(SUMIF(B$3:B$3844,B2052,J$3:J$3844))</f>
        <v>0.45434028362582951</v>
      </c>
      <c r="E2052" s="47">
        <v>35651</v>
      </c>
      <c r="F2052" s="48" t="str">
        <f>"JAMES E PLEW ELEMENTARY SCHOOL"</f>
        <v>JAMES E PLEW ELEMENTARY SCHOOL</v>
      </c>
      <c r="G2052" s="47"/>
      <c r="H2052" s="47"/>
      <c r="I2052" s="40">
        <v>255</v>
      </c>
      <c r="J2052" s="40">
        <v>778</v>
      </c>
      <c r="K2052" s="118"/>
      <c r="L2052" s="119"/>
      <c r="M2052" s="110">
        <f>IF(L2052="",I2052,(MIN(J2052,(L2052*1.6*J2052))))</f>
        <v>255</v>
      </c>
      <c r="N2052" s="111">
        <f>IF(M2052=0,0,(M2052/J2052))</f>
        <v>0.32776349614395889</v>
      </c>
    </row>
    <row r="2053" spans="2:14">
      <c r="B2053" s="73">
        <v>127648</v>
      </c>
      <c r="C2053" s="23" t="s">
        <v>2163</v>
      </c>
      <c r="D2053" s="123">
        <f>SUMIF(B$3:B$3844,B2053,M$3:M$3844)/(SUMIF(B$3:B$3844,B2053,J$3:J$3844))</f>
        <v>0.45434028362582951</v>
      </c>
      <c r="E2053" s="23">
        <v>35592</v>
      </c>
      <c r="F2053" s="46" t="str">
        <f>"KENWOOD ELEMENTARY SCHOOL"</f>
        <v>KENWOOD ELEMENTARY SCHOOL</v>
      </c>
      <c r="G2053" s="23"/>
      <c r="H2053" s="23"/>
      <c r="I2053" s="41">
        <v>391</v>
      </c>
      <c r="J2053" s="41">
        <v>645</v>
      </c>
      <c r="K2053" s="118"/>
      <c r="L2053" s="119"/>
      <c r="M2053" s="110">
        <f>IF(L2053="",I2053,(MIN(J2053,(L2053*1.6*J2053))))</f>
        <v>391</v>
      </c>
      <c r="N2053" s="111">
        <f>IF(M2053=0,0,(M2053/J2053))</f>
        <v>0.60620155038759693</v>
      </c>
    </row>
    <row r="2054" spans="2:14">
      <c r="B2054" s="72">
        <v>127648</v>
      </c>
      <c r="C2054" s="47" t="s">
        <v>2163</v>
      </c>
      <c r="D2054" s="123">
        <f>SUMIF(B$3:B$3844,B2054,M$3:M$3844)/(SUMIF(B$3:B$3844,B2054,J$3:J$3844))</f>
        <v>0.45434028362582951</v>
      </c>
      <c r="E2054" s="47">
        <v>35619</v>
      </c>
      <c r="F2054" s="48" t="str">
        <f>"LAUREL HILL SCHOOL"</f>
        <v>LAUREL HILL SCHOOL</v>
      </c>
      <c r="G2054" s="47"/>
      <c r="H2054" s="47"/>
      <c r="I2054" s="40">
        <v>267</v>
      </c>
      <c r="J2054" s="40">
        <v>395</v>
      </c>
      <c r="K2054" s="118"/>
      <c r="L2054" s="119"/>
      <c r="M2054" s="110">
        <f>IF(L2054="",I2054,(MIN(J2054,(L2054*1.6*J2054))))</f>
        <v>267</v>
      </c>
      <c r="N2054" s="111">
        <f>IF(M2054=0,0,(M2054/J2054))</f>
        <v>0.67594936708860764</v>
      </c>
    </row>
    <row r="2055" spans="2:14">
      <c r="B2055" s="73">
        <v>127648</v>
      </c>
      <c r="C2055" s="23" t="s">
        <v>2163</v>
      </c>
      <c r="D2055" s="123">
        <f>SUMIF(B$3:B$3844,B2055,M$3:M$3844)/(SUMIF(B$3:B$3844,B2055,J$3:J$3844))</f>
        <v>0.45434028362582951</v>
      </c>
      <c r="E2055" s="23">
        <v>16076471</v>
      </c>
      <c r="F2055" s="46" t="s">
        <v>2167</v>
      </c>
      <c r="G2055" s="23"/>
      <c r="H2055" s="23"/>
      <c r="I2055" s="41">
        <v>203</v>
      </c>
      <c r="J2055" s="41">
        <v>854</v>
      </c>
      <c r="K2055" s="118"/>
      <c r="L2055" s="119"/>
      <c r="M2055" s="110">
        <f>IF(L2055="",I2055,(MIN(J2055,(L2055*1.6*J2055))))</f>
        <v>203</v>
      </c>
      <c r="N2055" s="111">
        <f>IF(M2055=0,0,(M2055/J2055))</f>
        <v>0.23770491803278687</v>
      </c>
    </row>
    <row r="2056" spans="2:14">
      <c r="B2056" s="72">
        <v>127648</v>
      </c>
      <c r="C2056" s="47" t="s">
        <v>2163</v>
      </c>
      <c r="D2056" s="123">
        <f>SUMIF(B$3:B$3844,B2056,M$3:M$3844)/(SUMIF(B$3:B$3844,B2056,J$3:J$3844))</f>
        <v>0.45434028362582951</v>
      </c>
      <c r="E2056" s="47">
        <v>35654</v>
      </c>
      <c r="F2056" s="48" t="str">
        <f>"LONGWOOD ELEMENTARY SCHOOL"</f>
        <v>LONGWOOD ELEMENTARY SCHOOL</v>
      </c>
      <c r="G2056" s="47"/>
      <c r="H2056" s="47"/>
      <c r="I2056" s="40">
        <v>483</v>
      </c>
      <c r="J2056" s="40">
        <v>651</v>
      </c>
      <c r="K2056" s="118"/>
      <c r="L2056" s="119"/>
      <c r="M2056" s="110">
        <f>IF(L2056="",I2056,(MIN(J2056,(L2056*1.6*J2056))))</f>
        <v>483</v>
      </c>
      <c r="N2056" s="111">
        <f>IF(M2056=0,0,(M2056/J2056))</f>
        <v>0.74193548387096775</v>
      </c>
    </row>
    <row r="2057" spans="2:14">
      <c r="B2057" s="73">
        <v>127648</v>
      </c>
      <c r="C2057" s="23" t="s">
        <v>2163</v>
      </c>
      <c r="D2057" s="123">
        <f>SUMIF(B$3:B$3844,B2057,M$3:M$3844)/(SUMIF(B$3:B$3844,B2057,J$3:J$3844))</f>
        <v>0.45434028362582951</v>
      </c>
      <c r="E2057" s="23">
        <v>35646</v>
      </c>
      <c r="F2057" s="46" t="str">
        <f>"LULA J. EDGE ELEMENTARY SCHOOL"</f>
        <v>LULA J. EDGE ELEMENTARY SCHOOL</v>
      </c>
      <c r="G2057" s="23"/>
      <c r="H2057" s="23"/>
      <c r="I2057" s="41">
        <v>255</v>
      </c>
      <c r="J2057" s="41">
        <v>615</v>
      </c>
      <c r="K2057" s="118"/>
      <c r="L2057" s="119"/>
      <c r="M2057" s="110">
        <f>IF(L2057="",I2057,(MIN(J2057,(L2057*1.6*J2057))))</f>
        <v>255</v>
      </c>
      <c r="N2057" s="111">
        <f>IF(M2057=0,0,(M2057/J2057))</f>
        <v>0.41463414634146339</v>
      </c>
    </row>
    <row r="2058" spans="2:14">
      <c r="B2058" s="72">
        <v>127648</v>
      </c>
      <c r="C2058" s="47" t="s">
        <v>2163</v>
      </c>
      <c r="D2058" s="123">
        <f>SUMIF(B$3:B$3844,B2058,M$3:M$3844)/(SUMIF(B$3:B$3844,B2058,J$3:J$3844))</f>
        <v>0.45434028362582951</v>
      </c>
      <c r="E2058" s="47">
        <v>35623</v>
      </c>
      <c r="F2058" s="48" t="str">
        <f>"MARY ESTHER ELEMENTARY SCHOOL"</f>
        <v>MARY ESTHER ELEMENTARY SCHOOL</v>
      </c>
      <c r="G2058" s="47"/>
      <c r="H2058" s="47"/>
      <c r="I2058" s="40">
        <v>381</v>
      </c>
      <c r="J2058" s="40">
        <v>577</v>
      </c>
      <c r="K2058" s="118"/>
      <c r="L2058" s="119"/>
      <c r="M2058" s="110">
        <f>IF(L2058="",I2058,(MIN(J2058,(L2058*1.6*J2058))))</f>
        <v>381</v>
      </c>
      <c r="N2058" s="111">
        <f>IF(M2058=0,0,(M2058/J2058))</f>
        <v>0.66031195840554591</v>
      </c>
    </row>
    <row r="2059" spans="2:14">
      <c r="B2059" s="73">
        <v>127648</v>
      </c>
      <c r="C2059" s="23" t="s">
        <v>2163</v>
      </c>
      <c r="D2059" s="123">
        <f>SUMIF(B$3:B$3844,B2059,M$3:M$3844)/(SUMIF(B$3:B$3844,B2059,J$3:J$3844))</f>
        <v>0.45434028362582951</v>
      </c>
      <c r="E2059" s="23">
        <v>35598</v>
      </c>
      <c r="F2059" s="46" t="s">
        <v>2168</v>
      </c>
      <c r="G2059" s="23"/>
      <c r="H2059" s="23"/>
      <c r="I2059" s="41">
        <v>461</v>
      </c>
      <c r="J2059" s="41">
        <v>755</v>
      </c>
      <c r="K2059" s="118"/>
      <c r="L2059" s="119"/>
      <c r="M2059" s="110">
        <f>IF(L2059="",I2059,(MIN(J2059,(L2059*1.6*J2059))))</f>
        <v>461</v>
      </c>
      <c r="N2059" s="111">
        <f>IF(M2059=0,0,(M2059/J2059))</f>
        <v>0.61059602649006628</v>
      </c>
    </row>
    <row r="2060" spans="2:14">
      <c r="B2060" s="72">
        <v>127648</v>
      </c>
      <c r="C2060" s="47" t="s">
        <v>2163</v>
      </c>
      <c r="D2060" s="123">
        <f>SUMIF(B$3:B$3844,B2060,M$3:M$3844)/(SUMIF(B$3:B$3844,B2060,J$3:J$3844))</f>
        <v>0.45434028362582951</v>
      </c>
      <c r="E2060" s="47">
        <v>35648</v>
      </c>
      <c r="F2060" s="48" t="str">
        <f>"NICEVILLE SENIOR HIGH SCHOOL"</f>
        <v>NICEVILLE SENIOR HIGH SCHOOL</v>
      </c>
      <c r="G2060" s="47"/>
      <c r="H2060" s="47"/>
      <c r="I2060" s="40">
        <v>301</v>
      </c>
      <c r="J2060" s="40">
        <v>1977</v>
      </c>
      <c r="K2060" s="118"/>
      <c r="L2060" s="119"/>
      <c r="M2060" s="110">
        <f>IF(L2060="",I2060,(MIN(J2060,(L2060*1.6*J2060))))</f>
        <v>301</v>
      </c>
      <c r="N2060" s="111">
        <f>IF(M2060=0,0,(M2060/J2060))</f>
        <v>0.152250885179565</v>
      </c>
    </row>
    <row r="2061" spans="2:14">
      <c r="B2061" s="73">
        <v>127648</v>
      </c>
      <c r="C2061" s="23" t="s">
        <v>2163</v>
      </c>
      <c r="D2061" s="123">
        <f>SUMIF(B$3:B$3844,B2061,M$3:M$3844)/(SUMIF(B$3:B$3844,B2061,J$3:J$3844))</f>
        <v>0.45434028362582951</v>
      </c>
      <c r="E2061" s="23">
        <v>35575</v>
      </c>
      <c r="F2061" s="46" t="str">
        <f>"NORTHWOOD ELEMENTARY SCHOOL"</f>
        <v>NORTHWOOD ELEMENTARY SCHOOL</v>
      </c>
      <c r="G2061" s="23"/>
      <c r="H2061" s="23"/>
      <c r="I2061" s="41">
        <v>447</v>
      </c>
      <c r="J2061" s="41">
        <v>776</v>
      </c>
      <c r="K2061" s="118"/>
      <c r="L2061" s="119"/>
      <c r="M2061" s="110">
        <f>IF(L2061="",I2061,(MIN(J2061,(L2061*1.6*J2061))))</f>
        <v>447</v>
      </c>
      <c r="N2061" s="111">
        <f>IF(M2061=0,0,(M2061/J2061))</f>
        <v>0.5760309278350515</v>
      </c>
    </row>
    <row r="2062" spans="2:14">
      <c r="B2062" s="72">
        <v>127648</v>
      </c>
      <c r="C2062" s="47" t="s">
        <v>2163</v>
      </c>
      <c r="D2062" s="123">
        <f>SUMIF(B$3:B$3844,B2062,M$3:M$3844)/(SUMIF(B$3:B$3844,B2062,J$3:J$3844))</f>
        <v>0.45434028362582951</v>
      </c>
      <c r="E2062" s="47">
        <v>202924</v>
      </c>
      <c r="F2062" s="48" t="str">
        <f>"OKALOOSA ACADEMY"</f>
        <v>OKALOOSA ACADEMY</v>
      </c>
      <c r="G2062" s="47"/>
      <c r="H2062" s="47"/>
      <c r="I2062" s="40">
        <v>245</v>
      </c>
      <c r="J2062" s="40">
        <v>305</v>
      </c>
      <c r="K2062" s="118"/>
      <c r="L2062" s="119"/>
      <c r="M2062" s="110">
        <f>IF(L2062="",I2062,(MIN(J2062,(L2062*1.6*J2062))))</f>
        <v>245</v>
      </c>
      <c r="N2062" s="111">
        <f>IF(M2062=0,0,(M2062/J2062))</f>
        <v>0.80327868852459017</v>
      </c>
    </row>
    <row r="2063" spans="2:14">
      <c r="B2063" s="73">
        <v>127648</v>
      </c>
      <c r="C2063" s="23" t="s">
        <v>2163</v>
      </c>
      <c r="D2063" s="123">
        <f>SUMIF(B$3:B$3844,B2063,M$3:M$3844)/(SUMIF(B$3:B$3844,B2063,J$3:J$3844))</f>
        <v>0.45434028362582951</v>
      </c>
      <c r="E2063" s="23">
        <v>215234</v>
      </c>
      <c r="F2063" s="46" t="str">
        <f>"OKALOOSA REGIONAL DETENTION"</f>
        <v>OKALOOSA REGIONAL DETENTION</v>
      </c>
      <c r="G2063" s="23"/>
      <c r="H2063" s="23"/>
      <c r="I2063" s="41">
        <v>8</v>
      </c>
      <c r="J2063" s="41">
        <v>19</v>
      </c>
      <c r="K2063" s="118"/>
      <c r="L2063" s="119"/>
      <c r="M2063" s="110">
        <f>IF(L2063="",I2063,(MIN(J2063,(L2063*1.6*J2063))))</f>
        <v>8</v>
      </c>
      <c r="N2063" s="111">
        <f>IF(M2063=0,0,(M2063/J2063))</f>
        <v>0.42105263157894735</v>
      </c>
    </row>
    <row r="2064" spans="2:14">
      <c r="B2064" s="72">
        <v>127648</v>
      </c>
      <c r="C2064" s="47" t="s">
        <v>2163</v>
      </c>
      <c r="D2064" s="123">
        <f>SUMIF(B$3:B$3844,B2064,M$3:M$3844)/(SUMIF(B$3:B$3844,B2064,J$3:J$3844))</f>
        <v>0.45434028362582951</v>
      </c>
      <c r="E2064" s="47">
        <v>16071326</v>
      </c>
      <c r="F2064" s="48" t="str">
        <f>"OKALOOSA STEMM CENTER"</f>
        <v>OKALOOSA STEMM CENTER</v>
      </c>
      <c r="G2064" s="47"/>
      <c r="H2064" s="47"/>
      <c r="I2064" s="40">
        <v>34</v>
      </c>
      <c r="J2064" s="40">
        <v>195</v>
      </c>
      <c r="K2064" s="118"/>
      <c r="L2064" s="119"/>
      <c r="M2064" s="110">
        <f>IF(L2064="",I2064,(MIN(J2064,(L2064*1.6*J2064))))</f>
        <v>34</v>
      </c>
      <c r="N2064" s="111">
        <f>IF(M2064=0,0,(M2064/J2064))</f>
        <v>0.17435897435897435</v>
      </c>
    </row>
    <row r="2065" spans="2:14">
      <c r="B2065" s="73">
        <v>127648</v>
      </c>
      <c r="C2065" s="23" t="s">
        <v>2163</v>
      </c>
      <c r="D2065" s="123">
        <f>SUMIF(B$3:B$3844,B2065,M$3:M$3844)/(SUMIF(B$3:B$3844,B2065,J$3:J$3844))</f>
        <v>0.45434028362582951</v>
      </c>
      <c r="E2065" s="23">
        <v>210811</v>
      </c>
      <c r="F2065" s="46" t="str">
        <f>"OKALOOSA YOUTH ACADEMY"</f>
        <v>OKALOOSA YOUTH ACADEMY</v>
      </c>
      <c r="G2065" s="23"/>
      <c r="H2065" s="23"/>
      <c r="I2065" s="41"/>
      <c r="J2065" s="41">
        <v>73</v>
      </c>
      <c r="K2065" s="118"/>
      <c r="L2065" s="119"/>
      <c r="M2065" s="110">
        <f>IF(L2065="",I2065,(MIN(J2065,(L2065*1.6*J2065))))</f>
        <v>0</v>
      </c>
      <c r="N2065" s="111">
        <f>IF(M2065=0,0,(M2065/J2065))</f>
        <v>0</v>
      </c>
    </row>
    <row r="2066" spans="2:14">
      <c r="B2066" s="72">
        <v>127648</v>
      </c>
      <c r="C2066" s="47" t="s">
        <v>2163</v>
      </c>
      <c r="D2066" s="123">
        <f>SUMIF(B$3:B$3844,B2066,M$3:M$3844)/(SUMIF(B$3:B$3844,B2066,J$3:J$3844))</f>
        <v>0.45434028362582951</v>
      </c>
      <c r="E2066" s="47">
        <v>215233</v>
      </c>
      <c r="F2066" s="48" t="s">
        <v>2169</v>
      </c>
      <c r="G2066" s="47"/>
      <c r="H2066" s="47"/>
      <c r="I2066" s="40"/>
      <c r="J2066" s="40">
        <v>47</v>
      </c>
      <c r="K2066" s="118"/>
      <c r="L2066" s="119"/>
      <c r="M2066" s="110">
        <f>IF(L2066="",I2066,(MIN(J2066,(L2066*1.6*J2066))))</f>
        <v>0</v>
      </c>
      <c r="N2066" s="111">
        <f>IF(M2066=0,0,(M2066/J2066))</f>
        <v>0</v>
      </c>
    </row>
    <row r="2067" spans="2:14">
      <c r="B2067" s="73">
        <v>127648</v>
      </c>
      <c r="C2067" s="23" t="s">
        <v>2163</v>
      </c>
      <c r="D2067" s="123">
        <f>SUMIF(B$3:B$3844,B2067,M$3:M$3844)/(SUMIF(B$3:B$3844,B2067,J$3:J$3844))</f>
        <v>0.45434028362582951</v>
      </c>
      <c r="E2067" s="23">
        <v>16056094</v>
      </c>
      <c r="F2067" s="46" t="s">
        <v>2170</v>
      </c>
      <c r="G2067" s="23"/>
      <c r="H2067" s="23"/>
      <c r="I2067" s="41">
        <v>36</v>
      </c>
      <c r="J2067" s="41">
        <v>72</v>
      </c>
      <c r="K2067" s="118"/>
      <c r="L2067" s="119"/>
      <c r="M2067" s="110">
        <f>IF(L2067="",I2067,(MIN(J2067,(L2067*1.6*J2067))))</f>
        <v>36</v>
      </c>
      <c r="N2067" s="111">
        <f>IF(M2067=0,0,(M2067/J2067))</f>
        <v>0.5</v>
      </c>
    </row>
    <row r="2068" spans="2:14">
      <c r="B2068" s="72">
        <v>127648</v>
      </c>
      <c r="C2068" s="47" t="s">
        <v>2163</v>
      </c>
      <c r="D2068" s="123">
        <f>SUMIF(B$3:B$3844,B2068,M$3:M$3844)/(SUMIF(B$3:B$3844,B2068,J$3:J$3844))</f>
        <v>0.45434028362582951</v>
      </c>
      <c r="E2068" s="47">
        <v>16052974</v>
      </c>
      <c r="F2068" s="48" t="str">
        <f>"RIVERSIDE ELEMENTARY SCHOOL"</f>
        <v>RIVERSIDE ELEMENTARY SCHOOL</v>
      </c>
      <c r="G2068" s="47"/>
      <c r="H2068" s="47"/>
      <c r="I2068" s="40">
        <v>523</v>
      </c>
      <c r="J2068" s="40">
        <v>855</v>
      </c>
      <c r="K2068" s="118"/>
      <c r="L2068" s="119"/>
      <c r="M2068" s="110">
        <f>IF(L2068="",I2068,(MIN(J2068,(L2068*1.6*J2068))))</f>
        <v>523</v>
      </c>
      <c r="N2068" s="111">
        <f>IF(M2068=0,0,(M2068/J2068))</f>
        <v>0.61169590643274852</v>
      </c>
    </row>
    <row r="2069" spans="2:14">
      <c r="B2069" s="73">
        <v>127648</v>
      </c>
      <c r="C2069" s="23" t="s">
        <v>2163</v>
      </c>
      <c r="D2069" s="123">
        <f>SUMIF(B$3:B$3844,B2069,M$3:M$3844)/(SUMIF(B$3:B$3844,B2069,J$3:J$3844))</f>
        <v>0.45434028362582951</v>
      </c>
      <c r="E2069" s="23">
        <v>35655</v>
      </c>
      <c r="F2069" s="46" t="str">
        <f>"SHALIMAR ELEMENTARY SCHOOL"</f>
        <v>SHALIMAR ELEMENTARY SCHOOL</v>
      </c>
      <c r="G2069" s="23"/>
      <c r="H2069" s="23"/>
      <c r="I2069" s="41">
        <v>441</v>
      </c>
      <c r="J2069" s="41">
        <v>660</v>
      </c>
      <c r="K2069" s="118"/>
      <c r="L2069" s="119"/>
      <c r="M2069" s="110">
        <f>IF(L2069="",I2069,(MIN(J2069,(L2069*1.6*J2069))))</f>
        <v>441</v>
      </c>
      <c r="N2069" s="111">
        <f>IF(M2069=0,0,(M2069/J2069))</f>
        <v>0.66818181818181821</v>
      </c>
    </row>
    <row r="2070" spans="2:14">
      <c r="B2070" s="72">
        <v>127648</v>
      </c>
      <c r="C2070" s="47" t="s">
        <v>2163</v>
      </c>
      <c r="D2070" s="123">
        <f>SUMIF(B$3:B$3844,B2070,M$3:M$3844)/(SUMIF(B$3:B$3844,B2070,J$3:J$3844))</f>
        <v>0.45434028362582951</v>
      </c>
      <c r="E2070" s="47">
        <v>16052976</v>
      </c>
      <c r="F2070" s="48" t="str">
        <f>"SHOAL RIVER MIDDLE SCHOOL"</f>
        <v>SHOAL RIVER MIDDLE SCHOOL</v>
      </c>
      <c r="G2070" s="47"/>
      <c r="H2070" s="47"/>
      <c r="I2070" s="40">
        <v>403</v>
      </c>
      <c r="J2070" s="40">
        <v>839</v>
      </c>
      <c r="K2070" s="118"/>
      <c r="L2070" s="119"/>
      <c r="M2070" s="110">
        <f>IF(L2070="",I2070,(MIN(J2070,(L2070*1.6*J2070))))</f>
        <v>403</v>
      </c>
      <c r="N2070" s="111">
        <f>IF(M2070=0,0,(M2070/J2070))</f>
        <v>0.48033373063170443</v>
      </c>
    </row>
    <row r="2071" spans="2:14">
      <c r="B2071" s="73">
        <v>127648</v>
      </c>
      <c r="C2071" s="23" t="s">
        <v>2163</v>
      </c>
      <c r="D2071" s="123">
        <f>SUMIF(B$3:B$3844,B2071,M$3:M$3844)/(SUMIF(B$3:B$3844,B2071,J$3:J$3844))</f>
        <v>0.45434028362582951</v>
      </c>
      <c r="E2071" s="23">
        <v>35597</v>
      </c>
      <c r="F2071" s="46" t="str">
        <f>"SILVER SANDS-EXCEP. CHILDREN"</f>
        <v>SILVER SANDS-EXCEP. CHILDREN</v>
      </c>
      <c r="G2071" s="23"/>
      <c r="H2071" s="23"/>
      <c r="I2071" s="41">
        <v>83</v>
      </c>
      <c r="J2071" s="41">
        <v>137</v>
      </c>
      <c r="K2071" s="118"/>
      <c r="L2071" s="119"/>
      <c r="M2071" s="110">
        <f>IF(L2071="",I2071,(MIN(J2071,(L2071*1.6*J2071))))</f>
        <v>83</v>
      </c>
      <c r="N2071" s="111">
        <f>IF(M2071=0,0,(M2071/J2071))</f>
        <v>0.6058394160583942</v>
      </c>
    </row>
    <row r="2072" spans="2:14">
      <c r="B2072" s="72">
        <v>127648</v>
      </c>
      <c r="C2072" s="47" t="s">
        <v>2163</v>
      </c>
      <c r="D2072" s="123">
        <f>SUMIF(B$3:B$3844,B2072,M$3:M$3844)/(SUMIF(B$3:B$3844,B2072,J$3:J$3844))</f>
        <v>0.45434028362582951</v>
      </c>
      <c r="E2072" s="47">
        <v>16056095</v>
      </c>
      <c r="F2072" s="48" t="str">
        <f>"SOUTHSIDE CENTER"</f>
        <v>SOUTHSIDE CENTER</v>
      </c>
      <c r="G2072" s="47"/>
      <c r="H2072" s="47"/>
      <c r="I2072" s="40">
        <v>185</v>
      </c>
      <c r="J2072" s="40">
        <v>346</v>
      </c>
      <c r="K2072" s="118"/>
      <c r="L2072" s="119"/>
      <c r="M2072" s="110">
        <f>IF(L2072="",I2072,(MIN(J2072,(L2072*1.6*J2072))))</f>
        <v>185</v>
      </c>
      <c r="N2072" s="111">
        <f>IF(M2072=0,0,(M2072/J2072))</f>
        <v>0.53468208092485547</v>
      </c>
    </row>
    <row r="2073" spans="2:14">
      <c r="B2073" s="73">
        <v>127648</v>
      </c>
      <c r="C2073" s="23" t="s">
        <v>2163</v>
      </c>
      <c r="D2073" s="123">
        <f>SUMIF(B$3:B$3844,B2073,M$3:M$3844)/(SUMIF(B$3:B$3844,B2073,J$3:J$3844))</f>
        <v>0.45434028362582951</v>
      </c>
      <c r="E2073" s="23">
        <v>35591</v>
      </c>
      <c r="F2073" s="46" t="str">
        <f>"W. C. PRYOR MIDDLE SCHOOL"</f>
        <v>W. C. PRYOR MIDDLE SCHOOL</v>
      </c>
      <c r="G2073" s="23"/>
      <c r="H2073" s="23"/>
      <c r="I2073" s="41">
        <v>420</v>
      </c>
      <c r="J2073" s="41">
        <v>607</v>
      </c>
      <c r="K2073" s="118"/>
      <c r="L2073" s="119"/>
      <c r="M2073" s="110">
        <f>IF(L2073="",I2073,(MIN(J2073,(L2073*1.6*J2073))))</f>
        <v>420</v>
      </c>
      <c r="N2073" s="111">
        <f>IF(M2073=0,0,(M2073/J2073))</f>
        <v>0.69192751235584848</v>
      </c>
    </row>
    <row r="2074" spans="2:14">
      <c r="B2074" s="72">
        <v>127648</v>
      </c>
      <c r="C2074" s="47" t="s">
        <v>2163</v>
      </c>
      <c r="D2074" s="123">
        <f>SUMIF(B$3:B$3844,B2074,M$3:M$3844)/(SUMIF(B$3:B$3844,B2074,J$3:J$3844))</f>
        <v>0.45434028362582951</v>
      </c>
      <c r="E2074" s="47">
        <v>35582</v>
      </c>
      <c r="F2074" s="48" t="str">
        <f>"WALKER ELEMENTARY SCHOOL"</f>
        <v>WALKER ELEMENTARY SCHOOL</v>
      </c>
      <c r="G2074" s="47"/>
      <c r="H2074" s="47"/>
      <c r="I2074" s="40">
        <v>543</v>
      </c>
      <c r="J2074" s="40">
        <v>841</v>
      </c>
      <c r="K2074" s="118"/>
      <c r="L2074" s="119"/>
      <c r="M2074" s="110">
        <f>IF(L2074="",I2074,(MIN(J2074,(L2074*1.6*J2074))))</f>
        <v>543</v>
      </c>
      <c r="N2074" s="111">
        <f>IF(M2074=0,0,(M2074/J2074))</f>
        <v>0.64565992865636146</v>
      </c>
    </row>
    <row r="2075" spans="2:14">
      <c r="B2075" s="73">
        <v>127648</v>
      </c>
      <c r="C2075" s="23" t="s">
        <v>2163</v>
      </c>
      <c r="D2075" s="123">
        <f>SUMIF(B$3:B$3844,B2075,M$3:M$3844)/(SUMIF(B$3:B$3844,B2075,J$3:J$3844))</f>
        <v>0.45434028362582951</v>
      </c>
      <c r="E2075" s="23">
        <v>35594</v>
      </c>
      <c r="F2075" s="46" t="str">
        <f>"WRIGHT ELEMENTARY SCHOOL"</f>
        <v>WRIGHT ELEMENTARY SCHOOL</v>
      </c>
      <c r="G2075" s="23"/>
      <c r="H2075" s="23"/>
      <c r="I2075" s="41">
        <v>510</v>
      </c>
      <c r="J2075" s="41">
        <v>662</v>
      </c>
      <c r="K2075" s="118"/>
      <c r="L2075" s="119"/>
      <c r="M2075" s="110">
        <f>IF(L2075="",I2075,(MIN(J2075,(L2075*1.6*J2075))))</f>
        <v>510</v>
      </c>
      <c r="N2075" s="111">
        <f>IF(M2075=0,0,(M2075/J2075))</f>
        <v>0.77039274924471302</v>
      </c>
    </row>
    <row r="2076" spans="2:14">
      <c r="B2076" s="72">
        <v>127898</v>
      </c>
      <c r="C2076" s="47" t="s">
        <v>1504</v>
      </c>
      <c r="D2076" s="123">
        <f>SUMIF(B$3:B$3844,B2076,M$3:M$3844)/(SUMIF(B$3:B$3844,B2076,J$3:J$3844))</f>
        <v>0.78970775095298607</v>
      </c>
      <c r="E2076" s="47">
        <v>38846</v>
      </c>
      <c r="F2076" s="48" t="s">
        <v>1505</v>
      </c>
      <c r="G2076" s="47"/>
      <c r="H2076" s="47"/>
      <c r="I2076" s="40">
        <v>531</v>
      </c>
      <c r="J2076" s="40">
        <v>602</v>
      </c>
      <c r="K2076" s="118"/>
      <c r="L2076" s="119"/>
      <c r="M2076" s="110">
        <f>IF(L2076="",I2076,(MIN(J2076,(L2076*1.6*J2076))))</f>
        <v>531</v>
      </c>
      <c r="N2076" s="111">
        <f>IF(M2076=0,0,(M2076/J2076))</f>
        <v>0.88205980066445178</v>
      </c>
    </row>
    <row r="2077" spans="2:14">
      <c r="B2077" s="73">
        <v>127898</v>
      </c>
      <c r="C2077" s="23" t="s">
        <v>1504</v>
      </c>
      <c r="D2077" s="123">
        <f>SUMIF(B$3:B$3844,B2077,M$3:M$3844)/(SUMIF(B$3:B$3844,B2077,J$3:J$3844))</f>
        <v>0.78970775095298607</v>
      </c>
      <c r="E2077" s="23">
        <v>38845</v>
      </c>
      <c r="F2077" s="46" t="s">
        <v>77</v>
      </c>
      <c r="G2077" s="23"/>
      <c r="H2077" s="23"/>
      <c r="I2077" s="41">
        <v>603</v>
      </c>
      <c r="J2077" s="41">
        <v>674</v>
      </c>
      <c r="K2077" s="118"/>
      <c r="L2077" s="119"/>
      <c r="M2077" s="110">
        <f>IF(L2077="",I2077,(MIN(J2077,(L2077*1.6*J2077))))</f>
        <v>603</v>
      </c>
      <c r="N2077" s="111">
        <f>IF(M2077=0,0,(M2077/J2077))</f>
        <v>0.89465875370919878</v>
      </c>
    </row>
    <row r="2078" spans="2:14">
      <c r="B2078" s="72">
        <v>127898</v>
      </c>
      <c r="C2078" s="47" t="s">
        <v>1504</v>
      </c>
      <c r="D2078" s="123">
        <f>SUMIF(B$3:B$3844,B2078,M$3:M$3844)/(SUMIF(B$3:B$3844,B2078,J$3:J$3844))</f>
        <v>0.78970775095298607</v>
      </c>
      <c r="E2078" s="47">
        <v>38840</v>
      </c>
      <c r="F2078" s="48" t="s">
        <v>1506</v>
      </c>
      <c r="G2078" s="47"/>
      <c r="H2078" s="47"/>
      <c r="I2078" s="40">
        <v>499</v>
      </c>
      <c r="J2078" s="40">
        <v>647</v>
      </c>
      <c r="K2078" s="118"/>
      <c r="L2078" s="119"/>
      <c r="M2078" s="110">
        <f>IF(L2078="",I2078,(MIN(J2078,(L2078*1.6*J2078))))</f>
        <v>499</v>
      </c>
      <c r="N2078" s="111">
        <f>IF(M2078=0,0,(M2078/J2078))</f>
        <v>0.77125193199381759</v>
      </c>
    </row>
    <row r="2079" spans="2:14">
      <c r="B2079" s="73">
        <v>127898</v>
      </c>
      <c r="C2079" s="23" t="s">
        <v>1504</v>
      </c>
      <c r="D2079" s="123">
        <f>SUMIF(B$3:B$3844,B2079,M$3:M$3844)/(SUMIF(B$3:B$3844,B2079,J$3:J$3844))</f>
        <v>0.78970775095298607</v>
      </c>
      <c r="E2079" s="23">
        <v>16063148</v>
      </c>
      <c r="F2079" s="46" t="s">
        <v>1507</v>
      </c>
      <c r="G2079" s="23"/>
      <c r="H2079" s="23"/>
      <c r="I2079" s="41">
        <v>125</v>
      </c>
      <c r="J2079" s="41">
        <v>162</v>
      </c>
      <c r="K2079" s="118"/>
      <c r="L2079" s="119"/>
      <c r="M2079" s="110">
        <f>IF(L2079="",I2079,(MIN(J2079,(L2079*1.6*J2079))))</f>
        <v>125</v>
      </c>
      <c r="N2079" s="111">
        <f>IF(M2079=0,0,(M2079/J2079))</f>
        <v>0.77160493827160492</v>
      </c>
    </row>
    <row r="2080" spans="2:14">
      <c r="B2080" s="72">
        <v>127898</v>
      </c>
      <c r="C2080" s="47" t="s">
        <v>1504</v>
      </c>
      <c r="D2080" s="123">
        <f>SUMIF(B$3:B$3844,B2080,M$3:M$3844)/(SUMIF(B$3:B$3844,B2080,J$3:J$3844))</f>
        <v>0.78970775095298607</v>
      </c>
      <c r="E2080" s="47">
        <v>16081931</v>
      </c>
      <c r="F2080" s="48" t="s">
        <v>1508</v>
      </c>
      <c r="G2080" s="47"/>
      <c r="H2080" s="47"/>
      <c r="I2080" s="40"/>
      <c r="J2080" s="40" t="s">
        <v>264</v>
      </c>
      <c r="K2080" s="118"/>
      <c r="L2080" s="119"/>
      <c r="M2080" s="110">
        <f>IF(L2080="",I2080,(MIN(J2080,(L2080*1.6*J2080))))</f>
        <v>0</v>
      </c>
      <c r="N2080" s="111">
        <f>IF(M2080=0,0,(M2080/J2080))</f>
        <v>0</v>
      </c>
    </row>
    <row r="2081" spans="2:14">
      <c r="B2081" s="73">
        <v>127898</v>
      </c>
      <c r="C2081" s="23" t="s">
        <v>1504</v>
      </c>
      <c r="D2081" s="123">
        <f>SUMIF(B$3:B$3844,B2081,M$3:M$3844)/(SUMIF(B$3:B$3844,B2081,J$3:J$3844))</f>
        <v>0.78970775095298607</v>
      </c>
      <c r="E2081" s="23">
        <v>38847</v>
      </c>
      <c r="F2081" s="46" t="s">
        <v>1509</v>
      </c>
      <c r="G2081" s="23"/>
      <c r="H2081" s="23"/>
      <c r="I2081" s="41"/>
      <c r="J2081" s="41">
        <v>0</v>
      </c>
      <c r="K2081" s="118"/>
      <c r="L2081" s="119"/>
      <c r="M2081" s="110">
        <f>IF(L2081="",I2081,(MIN(J2081,(L2081*1.6*J2081))))</f>
        <v>0</v>
      </c>
      <c r="N2081" s="111">
        <f>IF(M2081=0,0,(M2081/J2081))</f>
        <v>0</v>
      </c>
    </row>
    <row r="2082" spans="2:14">
      <c r="B2082" s="72">
        <v>127898</v>
      </c>
      <c r="C2082" s="47" t="s">
        <v>1504</v>
      </c>
      <c r="D2082" s="123">
        <f>SUMIF(B$3:B$3844,B2082,M$3:M$3844)/(SUMIF(B$3:B$3844,B2082,J$3:J$3844))</f>
        <v>0.78970775095298607</v>
      </c>
      <c r="E2082" s="47">
        <v>38839</v>
      </c>
      <c r="F2082" s="48" t="s">
        <v>1510</v>
      </c>
      <c r="G2082" s="47"/>
      <c r="H2082" s="47"/>
      <c r="I2082" s="40">
        <v>1204</v>
      </c>
      <c r="J2082" s="40">
        <v>1755</v>
      </c>
      <c r="K2082" s="118"/>
      <c r="L2082" s="119"/>
      <c r="M2082" s="110">
        <f>IF(L2082="",I2082,(MIN(J2082,(L2082*1.6*J2082))))</f>
        <v>1204</v>
      </c>
      <c r="N2082" s="111">
        <f>IF(M2082=0,0,(M2082/J2082))</f>
        <v>0.68603988603988608</v>
      </c>
    </row>
    <row r="2083" spans="2:14">
      <c r="B2083" s="73">
        <v>127898</v>
      </c>
      <c r="C2083" s="23" t="s">
        <v>1504</v>
      </c>
      <c r="D2083" s="123">
        <f>SUMIF(B$3:B$3844,B2083,M$3:M$3844)/(SUMIF(B$3:B$3844,B2083,J$3:J$3844))</f>
        <v>0.78970775095298607</v>
      </c>
      <c r="E2083" s="23">
        <v>38851</v>
      </c>
      <c r="F2083" s="46" t="s">
        <v>919</v>
      </c>
      <c r="G2083" s="23"/>
      <c r="H2083" s="23"/>
      <c r="I2083" s="41">
        <v>512</v>
      </c>
      <c r="J2083" s="41">
        <v>670</v>
      </c>
      <c r="K2083" s="118"/>
      <c r="L2083" s="119"/>
      <c r="M2083" s="110">
        <f>IF(L2083="",I2083,(MIN(J2083,(L2083*1.6*J2083))))</f>
        <v>512</v>
      </c>
      <c r="N2083" s="111">
        <f>IF(M2083=0,0,(M2083/J2083))</f>
        <v>0.76417910447761195</v>
      </c>
    </row>
    <row r="2084" spans="2:14">
      <c r="B2084" s="72">
        <v>127898</v>
      </c>
      <c r="C2084" s="47" t="s">
        <v>1504</v>
      </c>
      <c r="D2084" s="123">
        <f>SUMIF(B$3:B$3844,B2084,M$3:M$3844)/(SUMIF(B$3:B$3844,B2084,J$3:J$3844))</f>
        <v>0.78970775095298607</v>
      </c>
      <c r="E2084" s="47">
        <v>38843</v>
      </c>
      <c r="F2084" s="48" t="s">
        <v>444</v>
      </c>
      <c r="G2084" s="47"/>
      <c r="H2084" s="47"/>
      <c r="I2084" s="40">
        <v>602</v>
      </c>
      <c r="J2084" s="40">
        <v>655</v>
      </c>
      <c r="K2084" s="118"/>
      <c r="L2084" s="119"/>
      <c r="M2084" s="110">
        <f>IF(L2084="",I2084,(MIN(J2084,(L2084*1.6*J2084))))</f>
        <v>602</v>
      </c>
      <c r="N2084" s="111">
        <f>IF(M2084=0,0,(M2084/J2084))</f>
        <v>0.91908396946564885</v>
      </c>
    </row>
    <row r="2085" spans="2:14">
      <c r="B2085" s="73">
        <v>127898</v>
      </c>
      <c r="C2085" s="23" t="s">
        <v>1504</v>
      </c>
      <c r="D2085" s="123">
        <f>SUMIF(B$3:B$3844,B2085,M$3:M$3844)/(SUMIF(B$3:B$3844,B2085,J$3:J$3844))</f>
        <v>0.78970775095298607</v>
      </c>
      <c r="E2085" s="23">
        <v>224050</v>
      </c>
      <c r="F2085" s="46" t="s">
        <v>1511</v>
      </c>
      <c r="G2085" s="23"/>
      <c r="H2085" s="23"/>
      <c r="I2085" s="41">
        <v>341</v>
      </c>
      <c r="J2085" s="41">
        <v>460</v>
      </c>
      <c r="K2085" s="118"/>
      <c r="L2085" s="119"/>
      <c r="M2085" s="110">
        <f>IF(L2085="",I2085,(MIN(J2085,(L2085*1.6*J2085))))</f>
        <v>341</v>
      </c>
      <c r="N2085" s="111">
        <f>IF(M2085=0,0,(M2085/J2085))</f>
        <v>0.74130434782608701</v>
      </c>
    </row>
    <row r="2086" spans="2:14">
      <c r="B2086" s="72">
        <v>127898</v>
      </c>
      <c r="C2086" s="47" t="s">
        <v>1504</v>
      </c>
      <c r="D2086" s="123">
        <f>SUMIF(B$3:B$3844,B2086,M$3:M$3844)/(SUMIF(B$3:B$3844,B2086,J$3:J$3844))</f>
        <v>0.78970775095298607</v>
      </c>
      <c r="E2086" s="47">
        <v>38841</v>
      </c>
      <c r="F2086" s="48" t="s">
        <v>1512</v>
      </c>
      <c r="G2086" s="47"/>
      <c r="H2086" s="47"/>
      <c r="I2086" s="40">
        <v>555</v>
      </c>
      <c r="J2086" s="40">
        <v>671</v>
      </c>
      <c r="K2086" s="118"/>
      <c r="L2086" s="119"/>
      <c r="M2086" s="110">
        <f>IF(L2086="",I2086,(MIN(J2086,(L2086*1.6*J2086))))</f>
        <v>555</v>
      </c>
      <c r="N2086" s="111">
        <f>IF(M2086=0,0,(M2086/J2086))</f>
        <v>0.82712369597615498</v>
      </c>
    </row>
    <row r="2087" spans="2:14">
      <c r="B2087" s="73">
        <v>127681</v>
      </c>
      <c r="C2087" s="23" t="str">
        <f>"ORANGE"</f>
        <v>ORANGE</v>
      </c>
      <c r="D2087" s="123">
        <f>SUMIF(B$3:B$3844,B2087,M$3:M$3844)/(SUMIF(B$3:B$3844,B2087,J$3:J$3844))</f>
        <v>0.38094301842471529</v>
      </c>
      <c r="E2087" s="23">
        <v>16055842</v>
      </c>
      <c r="F2087" s="46" t="str">
        <f>"ACCELERATION ACADEMY"</f>
        <v>ACCELERATION ACADEMY</v>
      </c>
      <c r="G2087" s="23"/>
      <c r="H2087" s="23"/>
      <c r="I2087" s="41"/>
      <c r="J2087" s="41">
        <v>232</v>
      </c>
      <c r="K2087" s="20"/>
      <c r="L2087" s="21"/>
      <c r="M2087" s="110">
        <f>IF(L2087="",I2087,(MIN(J2087,(L2087*1.6*J2087))))</f>
        <v>0</v>
      </c>
      <c r="N2087" s="111">
        <f>IF(M2087=0,0,(M2087/J2087))</f>
        <v>0</v>
      </c>
    </row>
    <row r="2088" spans="2:14">
      <c r="B2088" s="72">
        <v>127681</v>
      </c>
      <c r="C2088" s="47" t="str">
        <f>"ORANGE"</f>
        <v>ORANGE</v>
      </c>
      <c r="D2088" s="123">
        <f>SUMIF(B$3:B$3844,B2088,M$3:M$3844)/(SUMIF(B$3:B$3844,B2088,J$3:J$3844))</f>
        <v>0.38094301842471529</v>
      </c>
      <c r="E2088" s="47">
        <v>16072317</v>
      </c>
      <c r="F2088" s="48" t="str">
        <f>"ACCELERATION ACADEMY WEST"</f>
        <v>ACCELERATION ACADEMY WEST</v>
      </c>
      <c r="G2088" s="47"/>
      <c r="H2088" s="47"/>
      <c r="I2088" s="40"/>
      <c r="J2088" s="40">
        <v>172</v>
      </c>
      <c r="K2088" s="20"/>
      <c r="L2088" s="21"/>
      <c r="M2088" s="110">
        <f>IF(L2088="",I2088,(MIN(J2088,(L2088*1.6*J2088))))</f>
        <v>0</v>
      </c>
      <c r="N2088" s="111">
        <f>IF(M2088=0,0,(M2088/J2088))</f>
        <v>0</v>
      </c>
    </row>
    <row r="2089" spans="2:14">
      <c r="B2089" s="73">
        <v>127681</v>
      </c>
      <c r="C2089" s="23" t="str">
        <f>"ORANGE"</f>
        <v>ORANGE</v>
      </c>
      <c r="D2089" s="123">
        <f>SUMIF(B$3:B$3844,B2089,M$3:M$3844)/(SUMIF(B$3:B$3844,B2089,J$3:J$3844))</f>
        <v>0.38094301842471529</v>
      </c>
      <c r="E2089" s="23">
        <v>213267</v>
      </c>
      <c r="F2089" s="46" t="str">
        <f>"ADDICTIONS RECEIVING FACILITY"</f>
        <v>ADDICTIONS RECEIVING FACILITY</v>
      </c>
      <c r="G2089" s="23"/>
      <c r="H2089" s="23"/>
      <c r="I2089" s="41"/>
      <c r="J2089" s="41" t="s">
        <v>798</v>
      </c>
      <c r="K2089" s="20"/>
      <c r="L2089" s="21"/>
      <c r="M2089" s="110">
        <f>IF(L2089="",I2089,(MIN(J2089,(L2089*1.6*J2089))))</f>
        <v>0</v>
      </c>
      <c r="N2089" s="111">
        <f>IF(M2089=0,0,(M2089/J2089))</f>
        <v>0</v>
      </c>
    </row>
    <row r="2090" spans="2:14">
      <c r="B2090" s="72">
        <v>127681</v>
      </c>
      <c r="C2090" s="47" t="str">
        <f>"ORANGE"</f>
        <v>ORANGE</v>
      </c>
      <c r="D2090" s="123">
        <f>SUMIF(B$3:B$3844,B2090,M$3:M$3844)/(SUMIF(B$3:B$3844,B2090,J$3:J$3844))</f>
        <v>0.38094301842471529</v>
      </c>
      <c r="E2090" s="47">
        <v>35973</v>
      </c>
      <c r="F2090" s="48" t="str">
        <f>"ALOMA ELEMENTARY"</f>
        <v>ALOMA ELEMENTARY</v>
      </c>
      <c r="G2090" s="47"/>
      <c r="H2090" s="47"/>
      <c r="I2090" s="40">
        <v>379</v>
      </c>
      <c r="J2090" s="40">
        <v>547</v>
      </c>
      <c r="K2090" s="20"/>
      <c r="L2090" s="21"/>
      <c r="M2090" s="110">
        <f>IF(L2090="",I2090,(MIN(J2090,(L2090*1.6*J2090))))</f>
        <v>379</v>
      </c>
      <c r="N2090" s="111">
        <f>IF(M2090=0,0,(M2090/J2090))</f>
        <v>0.69287020109689212</v>
      </c>
    </row>
    <row r="2091" spans="2:14">
      <c r="B2091" s="73">
        <v>127681</v>
      </c>
      <c r="C2091" s="23" t="str">
        <f>"ORANGE"</f>
        <v>ORANGE</v>
      </c>
      <c r="D2091" s="123">
        <f>SUMIF(B$3:B$3844,B2091,M$3:M$3844)/(SUMIF(B$3:B$3844,B2091,J$3:J$3844))</f>
        <v>0.38094301842471529</v>
      </c>
      <c r="E2091" s="23">
        <v>16050087</v>
      </c>
      <c r="F2091" s="46" t="str">
        <f>"ALOMA HIGH CHARTER"</f>
        <v>ALOMA HIGH CHARTER</v>
      </c>
      <c r="G2091" s="23"/>
      <c r="H2091" s="23"/>
      <c r="I2091" s="41">
        <v>5</v>
      </c>
      <c r="J2091" s="41">
        <v>500</v>
      </c>
      <c r="K2091" s="20"/>
      <c r="L2091" s="21"/>
      <c r="M2091" s="110">
        <f>IF(L2091="",I2091,(MIN(J2091,(L2091*1.6*J2091))))</f>
        <v>5</v>
      </c>
      <c r="N2091" s="111">
        <f>IF(M2091=0,0,(M2091/J2091))</f>
        <v>0.01</v>
      </c>
    </row>
    <row r="2092" spans="2:14">
      <c r="B2092" s="72">
        <v>127681</v>
      </c>
      <c r="C2092" s="47" t="str">
        <f>"ORANGE"</f>
        <v>ORANGE</v>
      </c>
      <c r="D2092" s="123">
        <f>SUMIF(B$3:B$3844,B2092,M$3:M$3844)/(SUMIF(B$3:B$3844,B2092,J$3:J$3844))</f>
        <v>0.38094301842471529</v>
      </c>
      <c r="E2092" s="47">
        <v>16033382</v>
      </c>
      <c r="F2092" s="48" t="str">
        <f>"ANDOVER ELEMENTARY"</f>
        <v>ANDOVER ELEMENTARY</v>
      </c>
      <c r="G2092" s="47"/>
      <c r="H2092" s="47"/>
      <c r="I2092" s="40">
        <v>468</v>
      </c>
      <c r="J2092" s="40">
        <v>801</v>
      </c>
      <c r="K2092" s="20"/>
      <c r="L2092" s="21"/>
      <c r="M2092" s="110">
        <f>IF(L2092="",I2092,(MIN(J2092,(L2092*1.6*J2092))))</f>
        <v>468</v>
      </c>
      <c r="N2092" s="111">
        <f>IF(M2092=0,0,(M2092/J2092))</f>
        <v>0.5842696629213483</v>
      </c>
    </row>
    <row r="2093" spans="2:14">
      <c r="B2093" s="73">
        <v>127681</v>
      </c>
      <c r="C2093" s="23" t="str">
        <f>"ORANGE"</f>
        <v>ORANGE</v>
      </c>
      <c r="D2093" s="123">
        <f>SUMIF(B$3:B$3844,B2093,M$3:M$3844)/(SUMIF(B$3:B$3844,B2093,J$3:J$3844))</f>
        <v>0.38094301842471529</v>
      </c>
      <c r="E2093" s="23">
        <v>35809</v>
      </c>
      <c r="F2093" s="46" t="str">
        <f>"APOPKA ELEMENTARY"</f>
        <v>APOPKA ELEMENTARY</v>
      </c>
      <c r="G2093" s="23"/>
      <c r="H2093" s="23"/>
      <c r="I2093" s="41">
        <v>577</v>
      </c>
      <c r="J2093" s="41">
        <v>781</v>
      </c>
      <c r="K2093" s="20"/>
      <c r="L2093" s="21"/>
      <c r="M2093" s="110">
        <f>IF(L2093="",I2093,(MIN(J2093,(L2093*1.6*J2093))))</f>
        <v>577</v>
      </c>
      <c r="N2093" s="111">
        <f>IF(M2093=0,0,(M2093/J2093))</f>
        <v>0.73879641485275294</v>
      </c>
    </row>
    <row r="2094" spans="2:14">
      <c r="B2094" s="72">
        <v>127681</v>
      </c>
      <c r="C2094" s="47" t="str">
        <f>"ORANGE"</f>
        <v>ORANGE</v>
      </c>
      <c r="D2094" s="123">
        <f>SUMIF(B$3:B$3844,B2094,M$3:M$3844)/(SUMIF(B$3:B$3844,B2094,J$3:J$3844))</f>
        <v>0.38094301842471529</v>
      </c>
      <c r="E2094" s="47">
        <v>35812</v>
      </c>
      <c r="F2094" s="48" t="s">
        <v>2171</v>
      </c>
      <c r="G2094" s="47"/>
      <c r="H2094" s="47"/>
      <c r="I2094" s="40">
        <v>1824</v>
      </c>
      <c r="J2094" s="40">
        <v>3147</v>
      </c>
      <c r="K2094" s="20"/>
      <c r="L2094" s="21"/>
      <c r="M2094" s="110">
        <f>IF(L2094="",I2094,(MIN(J2094,(L2094*1.6*J2094))))</f>
        <v>1824</v>
      </c>
      <c r="N2094" s="111">
        <f>IF(M2094=0,0,(M2094/J2094))</f>
        <v>0.57959961868446142</v>
      </c>
    </row>
    <row r="2095" spans="2:14">
      <c r="B2095" s="73">
        <v>127681</v>
      </c>
      <c r="C2095" s="23" t="str">
        <f>"ORANGE"</f>
        <v>ORANGE</v>
      </c>
      <c r="D2095" s="123">
        <f>SUMIF(B$3:B$3844,B2095,M$3:M$3844)/(SUMIF(B$3:B$3844,B2095,J$3:J$3844))</f>
        <v>0.38094301842471529</v>
      </c>
      <c r="E2095" s="23">
        <v>35815</v>
      </c>
      <c r="F2095" s="46" t="str">
        <f>"APOPKA MIDDLE"</f>
        <v>APOPKA MIDDLE</v>
      </c>
      <c r="G2095" s="23"/>
      <c r="H2095" s="23"/>
      <c r="I2095" s="41">
        <v>770</v>
      </c>
      <c r="J2095" s="41">
        <v>1095</v>
      </c>
      <c r="K2095" s="20"/>
      <c r="L2095" s="21"/>
      <c r="M2095" s="110">
        <f>IF(L2095="",I2095,(MIN(J2095,(L2095*1.6*J2095))))</f>
        <v>770</v>
      </c>
      <c r="N2095" s="111">
        <f>IF(M2095=0,0,(M2095/J2095))</f>
        <v>0.70319634703196343</v>
      </c>
    </row>
    <row r="2096" spans="2:14">
      <c r="B2096" s="72">
        <v>127681</v>
      </c>
      <c r="C2096" s="47" t="str">
        <f>"ORANGE"</f>
        <v>ORANGE</v>
      </c>
      <c r="D2096" s="123">
        <f>SUMIF(B$3:B$3844,B2096,M$3:M$3844)/(SUMIF(B$3:B$3844,B2096,J$3:J$3844))</f>
        <v>0.38094301842471529</v>
      </c>
      <c r="E2096" s="47">
        <v>36094</v>
      </c>
      <c r="F2096" s="48" t="str">
        <f>"ARBOR RIDGE K-8"</f>
        <v>ARBOR RIDGE K-8</v>
      </c>
      <c r="G2096" s="47"/>
      <c r="H2096" s="47"/>
      <c r="I2096" s="40">
        <v>406</v>
      </c>
      <c r="J2096" s="40">
        <v>759</v>
      </c>
      <c r="K2096" s="20"/>
      <c r="L2096" s="21"/>
      <c r="M2096" s="110">
        <f>IF(L2096="",I2096,(MIN(J2096,(L2096*1.6*J2096))))</f>
        <v>406</v>
      </c>
      <c r="N2096" s="111">
        <f>IF(M2096=0,0,(M2096/J2096))</f>
        <v>0.53491436100131751</v>
      </c>
    </row>
    <row r="2097" spans="2:14">
      <c r="B2097" s="73">
        <v>127681</v>
      </c>
      <c r="C2097" s="23" t="str">
        <f>"ORANGE"</f>
        <v>ORANGE</v>
      </c>
      <c r="D2097" s="123">
        <f>SUMIF(B$3:B$3844,B2097,M$3:M$3844)/(SUMIF(B$3:B$3844,B2097,J$3:J$3844))</f>
        <v>0.38094301842471529</v>
      </c>
      <c r="E2097" s="23">
        <v>16072677</v>
      </c>
      <c r="F2097" s="46" t="str">
        <f>"ASPIRE ACADEMY CHARTER"</f>
        <v>ASPIRE ACADEMY CHARTER</v>
      </c>
      <c r="G2097" s="23"/>
      <c r="H2097" s="23"/>
      <c r="I2097" s="41">
        <v>106</v>
      </c>
      <c r="J2097" s="41">
        <v>121</v>
      </c>
      <c r="K2097" s="20"/>
      <c r="L2097" s="21"/>
      <c r="M2097" s="110">
        <f>IF(L2097="",I2097,(MIN(J2097,(L2097*1.6*J2097))))</f>
        <v>106</v>
      </c>
      <c r="N2097" s="111">
        <f>IF(M2097=0,0,(M2097/J2097))</f>
        <v>0.87603305785123964</v>
      </c>
    </row>
    <row r="2098" spans="2:14">
      <c r="B2098" s="72">
        <v>127681</v>
      </c>
      <c r="C2098" s="47" t="str">
        <f>"ORANGE"</f>
        <v>ORANGE</v>
      </c>
      <c r="D2098" s="123">
        <f>SUMIF(B$3:B$3844,B2098,M$3:M$3844)/(SUMIF(B$3:B$3844,B2098,J$3:J$3844))</f>
        <v>0.38094301842471529</v>
      </c>
      <c r="E2098" s="47">
        <v>35998</v>
      </c>
      <c r="F2098" s="48" t="str">
        <f>"AUDUBON PARK ELEMENTARY"</f>
        <v>AUDUBON PARK ELEMENTARY</v>
      </c>
      <c r="G2098" s="47"/>
      <c r="H2098" s="47"/>
      <c r="I2098" s="40">
        <v>435</v>
      </c>
      <c r="J2098" s="40">
        <v>1208</v>
      </c>
      <c r="K2098" s="20"/>
      <c r="L2098" s="21"/>
      <c r="M2098" s="110">
        <f>IF(L2098="",I2098,(MIN(J2098,(L2098*1.6*J2098))))</f>
        <v>435</v>
      </c>
      <c r="N2098" s="111">
        <f>IF(M2098=0,0,(M2098/J2098))</f>
        <v>0.36009933774834435</v>
      </c>
    </row>
    <row r="2099" spans="2:14">
      <c r="B2099" s="73">
        <v>127681</v>
      </c>
      <c r="C2099" s="23" t="str">
        <f>"ORANGE"</f>
        <v>ORANGE</v>
      </c>
      <c r="D2099" s="123">
        <f>SUMIF(B$3:B$3844,B2099,M$3:M$3844)/(SUMIF(B$3:B$3844,B2099,J$3:J$3844))</f>
        <v>0.38094301842471529</v>
      </c>
      <c r="E2099" s="23">
        <v>229025</v>
      </c>
      <c r="F2099" s="46" t="str">
        <f>"AVALON ELEMENTARY"</f>
        <v>AVALON ELEMENTARY</v>
      </c>
      <c r="G2099" s="23"/>
      <c r="H2099" s="23"/>
      <c r="I2099" s="41">
        <v>249</v>
      </c>
      <c r="J2099" s="41">
        <v>949</v>
      </c>
      <c r="K2099" s="20"/>
      <c r="L2099" s="21"/>
      <c r="M2099" s="110">
        <f>IF(L2099="",I2099,(MIN(J2099,(L2099*1.6*J2099))))</f>
        <v>249</v>
      </c>
      <c r="N2099" s="111">
        <f>IF(M2099=0,0,(M2099/J2099))</f>
        <v>0.2623814541622761</v>
      </c>
    </row>
    <row r="2100" spans="2:14">
      <c r="B2100" s="72">
        <v>127681</v>
      </c>
      <c r="C2100" s="47" t="str">
        <f>"ORANGE"</f>
        <v>ORANGE</v>
      </c>
      <c r="D2100" s="123">
        <f>SUMIF(B$3:B$3844,B2100,M$3:M$3844)/(SUMIF(B$3:B$3844,B2100,J$3:J$3844))</f>
        <v>0.38094301842471529</v>
      </c>
      <c r="E2100" s="47">
        <v>16038017</v>
      </c>
      <c r="F2100" s="48" t="str">
        <f>"AVALON MIDDLE"</f>
        <v>AVALON MIDDLE</v>
      </c>
      <c r="G2100" s="47"/>
      <c r="H2100" s="47"/>
      <c r="I2100" s="40">
        <v>767</v>
      </c>
      <c r="J2100" s="40">
        <v>1869</v>
      </c>
      <c r="K2100" s="20"/>
      <c r="L2100" s="21"/>
      <c r="M2100" s="110">
        <f>IF(L2100="",I2100,(MIN(J2100,(L2100*1.6*J2100))))</f>
        <v>767</v>
      </c>
      <c r="N2100" s="111">
        <f>IF(M2100=0,0,(M2100/J2100))</f>
        <v>0.41037988228999467</v>
      </c>
    </row>
    <row r="2101" spans="2:14">
      <c r="B2101" s="73">
        <v>127681</v>
      </c>
      <c r="C2101" s="23" t="str">
        <f>"ORANGE"</f>
        <v>ORANGE</v>
      </c>
      <c r="D2101" s="123">
        <f>SUMIF(B$3:B$3844,B2101,M$3:M$3844)/(SUMIF(B$3:B$3844,B2101,J$3:J$3844))</f>
        <v>0.38094301842471529</v>
      </c>
      <c r="E2101" s="23">
        <v>16045317</v>
      </c>
      <c r="F2101" s="46" t="str">
        <f>"AVALON TECH"</f>
        <v>AVALON TECH</v>
      </c>
      <c r="G2101" s="23"/>
      <c r="H2101" s="23"/>
      <c r="I2101" s="41"/>
      <c r="J2101" s="41">
        <v>0</v>
      </c>
      <c r="K2101" s="20"/>
      <c r="L2101" s="21"/>
      <c r="M2101" s="110">
        <f>IF(L2101="",I2101,(MIN(J2101,(L2101*1.6*J2101))))</f>
        <v>0</v>
      </c>
      <c r="N2101" s="111">
        <f>IF(M2101=0,0,(M2101/J2101))</f>
        <v>0</v>
      </c>
    </row>
    <row r="2102" spans="2:14">
      <c r="B2102" s="72">
        <v>127681</v>
      </c>
      <c r="C2102" s="47" t="str">
        <f>"ORANGE"</f>
        <v>ORANGE</v>
      </c>
      <c r="D2102" s="123">
        <f>SUMIF(B$3:B$3844,B2102,M$3:M$3844)/(SUMIF(B$3:B$3844,B2102,J$3:J$3844))</f>
        <v>0.38094301842471529</v>
      </c>
      <c r="E2102" s="47">
        <v>36039</v>
      </c>
      <c r="F2102" s="48" t="str">
        <f>"AZALEA PARK ELEMENTARY"</f>
        <v>AZALEA PARK ELEMENTARY</v>
      </c>
      <c r="G2102" s="47"/>
      <c r="H2102" s="47"/>
      <c r="I2102" s="40"/>
      <c r="J2102" s="40">
        <v>579</v>
      </c>
      <c r="K2102" s="20"/>
      <c r="L2102" s="21"/>
      <c r="M2102" s="110">
        <f>IF(L2102="",I2102,(MIN(J2102,(L2102*1.6*J2102))))</f>
        <v>0</v>
      </c>
      <c r="N2102" s="111">
        <f>IF(M2102=0,0,(M2102/J2102))</f>
        <v>0</v>
      </c>
    </row>
    <row r="2103" spans="2:14">
      <c r="B2103" s="73">
        <v>127681</v>
      </c>
      <c r="C2103" s="23" t="str">
        <f>"ORANGE"</f>
        <v>ORANGE</v>
      </c>
      <c r="D2103" s="123">
        <f>SUMIF(B$3:B$3844,B2103,M$3:M$3844)/(SUMIF(B$3:B$3844,B2103,J$3:J$3844))</f>
        <v>0.38094301842471529</v>
      </c>
      <c r="E2103" s="23">
        <v>36152</v>
      </c>
      <c r="F2103" s="46" t="str">
        <f>"BAY MEADOWS ELEMENTARY"</f>
        <v>BAY MEADOWS ELEMENTARY</v>
      </c>
      <c r="G2103" s="23"/>
      <c r="H2103" s="23"/>
      <c r="I2103" s="41">
        <v>223</v>
      </c>
      <c r="J2103" s="41">
        <v>600</v>
      </c>
      <c r="K2103" s="20"/>
      <c r="L2103" s="21"/>
      <c r="M2103" s="110">
        <f>IF(L2103="",I2103,(MIN(J2103,(L2103*1.6*J2103))))</f>
        <v>223</v>
      </c>
      <c r="N2103" s="111">
        <f>IF(M2103=0,0,(M2103/J2103))</f>
        <v>0.37166666666666665</v>
      </c>
    </row>
    <row r="2104" spans="2:14">
      <c r="B2104" s="72">
        <v>127681</v>
      </c>
      <c r="C2104" s="47" t="str">
        <f>"ORANGE"</f>
        <v>ORANGE</v>
      </c>
      <c r="D2104" s="123">
        <f>SUMIF(B$3:B$3844,B2104,M$3:M$3844)/(SUMIF(B$3:B$3844,B2104,J$3:J$3844))</f>
        <v>0.38094301842471529</v>
      </c>
      <c r="E2104" s="47">
        <v>36038</v>
      </c>
      <c r="F2104" s="48" t="str">
        <f>"BETA"</f>
        <v>BETA</v>
      </c>
      <c r="G2104" s="47"/>
      <c r="H2104" s="47"/>
      <c r="I2104" s="40">
        <v>134</v>
      </c>
      <c r="J2104" s="40">
        <v>152</v>
      </c>
      <c r="K2104" s="20"/>
      <c r="L2104" s="21"/>
      <c r="M2104" s="110">
        <f>IF(L2104="",I2104,(MIN(J2104,(L2104*1.6*J2104))))</f>
        <v>134</v>
      </c>
      <c r="N2104" s="111">
        <f>IF(M2104=0,0,(M2104/J2104))</f>
        <v>0.88157894736842102</v>
      </c>
    </row>
    <row r="2105" spans="2:14">
      <c r="B2105" s="73">
        <v>127681</v>
      </c>
      <c r="C2105" s="23" t="str">
        <f>"ORANGE"</f>
        <v>ORANGE</v>
      </c>
      <c r="D2105" s="123">
        <f>SUMIF(B$3:B$3844,B2105,M$3:M$3844)/(SUMIF(B$3:B$3844,B2105,J$3:J$3844))</f>
        <v>0.38094301842471529</v>
      </c>
      <c r="E2105" s="23">
        <v>16083825</v>
      </c>
      <c r="F2105" s="46" t="s">
        <v>2172</v>
      </c>
      <c r="G2105" s="23"/>
      <c r="H2105" s="23"/>
      <c r="I2105" s="41"/>
      <c r="J2105" s="41">
        <v>0</v>
      </c>
      <c r="K2105" s="20"/>
      <c r="L2105" s="21"/>
      <c r="M2105" s="110">
        <f>IF(L2105="",I2105,(MIN(J2105,(L2105*1.6*J2105))))</f>
        <v>0</v>
      </c>
      <c r="N2105" s="111">
        <f>IF(M2105=0,0,(M2105/J2105))</f>
        <v>0</v>
      </c>
    </row>
    <row r="2106" spans="2:14">
      <c r="B2106" s="72">
        <v>127681</v>
      </c>
      <c r="C2106" s="47" t="str">
        <f>"ORANGE"</f>
        <v>ORANGE</v>
      </c>
      <c r="D2106" s="123">
        <f>SUMIF(B$3:B$3844,B2106,M$3:M$3844)/(SUMIF(B$3:B$3844,B2106,J$3:J$3844))</f>
        <v>0.38094301842471529</v>
      </c>
      <c r="E2106" s="47">
        <v>36031</v>
      </c>
      <c r="F2106" s="48" t="str">
        <f>"BLANKNER K-8"</f>
        <v>BLANKNER K-8</v>
      </c>
      <c r="G2106" s="47"/>
      <c r="H2106" s="47"/>
      <c r="I2106" s="40">
        <v>415</v>
      </c>
      <c r="J2106" s="40">
        <v>1078</v>
      </c>
      <c r="K2106" s="20"/>
      <c r="L2106" s="21"/>
      <c r="M2106" s="110">
        <f>IF(L2106="",I2106,(MIN(J2106,(L2106*1.6*J2106))))</f>
        <v>415</v>
      </c>
      <c r="N2106" s="111">
        <f>IF(M2106=0,0,(M2106/J2106))</f>
        <v>0.38497217068645639</v>
      </c>
    </row>
    <row r="2107" spans="2:14">
      <c r="B2107" s="73">
        <v>127681</v>
      </c>
      <c r="C2107" s="23" t="str">
        <f>"ORANGE"</f>
        <v>ORANGE</v>
      </c>
      <c r="D2107" s="123">
        <f>SUMIF(B$3:B$3844,B2107,M$3:M$3844)/(SUMIF(B$3:B$3844,B2107,J$3:J$3844))</f>
        <v>0.38094301842471529</v>
      </c>
      <c r="E2107" s="23">
        <v>36138</v>
      </c>
      <c r="F2107" s="46" t="str">
        <f>"BONNEVILLE ELEMENTARY"</f>
        <v>BONNEVILLE ELEMENTARY</v>
      </c>
      <c r="G2107" s="23"/>
      <c r="H2107" s="23"/>
      <c r="I2107" s="41"/>
      <c r="J2107" s="41">
        <v>603</v>
      </c>
      <c r="K2107" s="20"/>
      <c r="L2107" s="21"/>
      <c r="M2107" s="110">
        <f>IF(L2107="",I2107,(MIN(J2107,(L2107*1.6*J2107))))</f>
        <v>0</v>
      </c>
      <c r="N2107" s="111">
        <f>IF(M2107=0,0,(M2107/J2107))</f>
        <v>0</v>
      </c>
    </row>
    <row r="2108" spans="2:14">
      <c r="B2108" s="72">
        <v>127681</v>
      </c>
      <c r="C2108" s="47" t="str">
        <f>"ORANGE"</f>
        <v>ORANGE</v>
      </c>
      <c r="D2108" s="123">
        <f>SUMIF(B$3:B$3844,B2108,M$3:M$3844)/(SUMIF(B$3:B$3844,B2108,J$3:J$3844))</f>
        <v>0.38094301842471529</v>
      </c>
      <c r="E2108" s="47">
        <v>16045322</v>
      </c>
      <c r="F2108" s="48" t="str">
        <f>"BRIDGEWATER MIDDLE"</f>
        <v>BRIDGEWATER MIDDLE</v>
      </c>
      <c r="G2108" s="47"/>
      <c r="H2108" s="47"/>
      <c r="I2108" s="40">
        <v>462</v>
      </c>
      <c r="J2108" s="40">
        <v>1559</v>
      </c>
      <c r="K2108" s="20"/>
      <c r="L2108" s="21"/>
      <c r="M2108" s="110">
        <f>IF(L2108="",I2108,(MIN(J2108,(L2108*1.6*J2108))))</f>
        <v>462</v>
      </c>
      <c r="N2108" s="111">
        <f>IF(M2108=0,0,(M2108/J2108))</f>
        <v>0.29634381013470174</v>
      </c>
    </row>
    <row r="2109" spans="2:14">
      <c r="B2109" s="73">
        <v>127681</v>
      </c>
      <c r="C2109" s="23" t="str">
        <f>"ORANGE"</f>
        <v>ORANGE</v>
      </c>
      <c r="D2109" s="123">
        <f>SUMIF(B$3:B$3844,B2109,M$3:M$3844)/(SUMIF(B$3:B$3844,B2109,J$3:J$3844))</f>
        <v>0.38094301842471529</v>
      </c>
      <c r="E2109" s="23">
        <v>35974</v>
      </c>
      <c r="F2109" s="46" t="str">
        <f>"BROOKSHIRE ELEMENTARY"</f>
        <v>BROOKSHIRE ELEMENTARY</v>
      </c>
      <c r="G2109" s="23"/>
      <c r="H2109" s="23"/>
      <c r="I2109" s="41">
        <v>266</v>
      </c>
      <c r="J2109" s="41">
        <v>618</v>
      </c>
      <c r="K2109" s="20"/>
      <c r="L2109" s="21"/>
      <c r="M2109" s="110">
        <f>IF(L2109="",I2109,(MIN(J2109,(L2109*1.6*J2109))))</f>
        <v>266</v>
      </c>
      <c r="N2109" s="111">
        <f>IF(M2109=0,0,(M2109/J2109))</f>
        <v>0.43042071197411003</v>
      </c>
    </row>
    <row r="2110" spans="2:14">
      <c r="B2110" s="72">
        <v>127681</v>
      </c>
      <c r="C2110" s="47" t="str">
        <f>"ORANGE"</f>
        <v>ORANGE</v>
      </c>
      <c r="D2110" s="123">
        <f>SUMIF(B$3:B$3844,B2110,M$3:M$3844)/(SUMIF(B$3:B$3844,B2110,J$3:J$3844))</f>
        <v>0.38094301842471529</v>
      </c>
      <c r="E2110" s="47">
        <v>229026</v>
      </c>
      <c r="F2110" s="48" t="str">
        <f>"CAMELOT ELEMENTARY"</f>
        <v>CAMELOT ELEMENTARY</v>
      </c>
      <c r="G2110" s="47"/>
      <c r="H2110" s="47"/>
      <c r="I2110" s="40">
        <v>358</v>
      </c>
      <c r="J2110" s="40">
        <v>623</v>
      </c>
      <c r="K2110" s="20"/>
      <c r="L2110" s="21"/>
      <c r="M2110" s="110">
        <f>IF(L2110="",I2110,(MIN(J2110,(L2110*1.6*J2110))))</f>
        <v>358</v>
      </c>
      <c r="N2110" s="111">
        <f>IF(M2110=0,0,(M2110/J2110))</f>
        <v>0.57463884430176571</v>
      </c>
    </row>
    <row r="2111" spans="2:14">
      <c r="B2111" s="73">
        <v>127681</v>
      </c>
      <c r="C2111" s="23" t="str">
        <f>"ORANGE"</f>
        <v>ORANGE</v>
      </c>
      <c r="D2111" s="123">
        <f>SUMIF(B$3:B$3844,B2111,M$3:M$3844)/(SUMIF(B$3:B$3844,B2111,J$3:J$3844))</f>
        <v>0.38094301842471529</v>
      </c>
      <c r="E2111" s="23">
        <v>36086</v>
      </c>
      <c r="F2111" s="46" t="str">
        <f>"CARVER MIDDLE"</f>
        <v>CARVER MIDDLE</v>
      </c>
      <c r="G2111" s="23"/>
      <c r="H2111" s="23"/>
      <c r="I2111" s="41"/>
      <c r="J2111" s="41">
        <v>717</v>
      </c>
      <c r="K2111" s="20">
        <v>2014</v>
      </c>
      <c r="L2111" s="21">
        <v>0.71640000000000004</v>
      </c>
      <c r="M2111" s="110">
        <f>IF(L2111="",I2111,(MIN(J2111,(L2111*1.6*J2111))))</f>
        <v>717</v>
      </c>
      <c r="N2111" s="111">
        <f>IF(M2111=0,0,(M2111/J2111))</f>
        <v>1</v>
      </c>
    </row>
    <row r="2112" spans="2:14">
      <c r="B2112" s="72">
        <v>127681</v>
      </c>
      <c r="C2112" s="47" t="str">
        <f>"ORANGE"</f>
        <v>ORANGE</v>
      </c>
      <c r="D2112" s="123">
        <f>SUMIF(B$3:B$3844,B2112,M$3:M$3844)/(SUMIF(B$3:B$3844,B2112,J$3:J$3844))</f>
        <v>0.38094301842471529</v>
      </c>
      <c r="E2112" s="47">
        <v>16038015</v>
      </c>
      <c r="F2112" s="48" t="str">
        <f>"CASTLE CREEK ELEMENTARY"</f>
        <v>CASTLE CREEK ELEMENTARY</v>
      </c>
      <c r="G2112" s="47"/>
      <c r="H2112" s="47"/>
      <c r="I2112" s="40">
        <v>658</v>
      </c>
      <c r="J2112" s="40">
        <v>866</v>
      </c>
      <c r="K2112" s="20"/>
      <c r="L2112" s="21"/>
      <c r="M2112" s="110">
        <f>IF(L2112="",I2112,(MIN(J2112,(L2112*1.6*J2112))))</f>
        <v>658</v>
      </c>
      <c r="N2112" s="111">
        <f>IF(M2112=0,0,(M2112/J2112))</f>
        <v>0.75981524249422627</v>
      </c>
    </row>
    <row r="2113" spans="2:14">
      <c r="B2113" s="73">
        <v>127681</v>
      </c>
      <c r="C2113" s="23" t="str">
        <f>"ORANGE"</f>
        <v>ORANGE</v>
      </c>
      <c r="D2113" s="123">
        <f>SUMIF(B$3:B$3844,B2113,M$3:M$3844)/(SUMIF(B$3:B$3844,B2113,J$3:J$3844))</f>
        <v>0.38094301842471529</v>
      </c>
      <c r="E2113" s="23">
        <v>36024</v>
      </c>
      <c r="F2113" s="46" t="str">
        <f>"CATALINA ELEMENTARY"</f>
        <v>CATALINA ELEMENTARY</v>
      </c>
      <c r="G2113" s="23"/>
      <c r="H2113" s="23"/>
      <c r="I2113" s="41"/>
      <c r="J2113" s="41">
        <v>705</v>
      </c>
      <c r="K2113" s="20">
        <v>2014</v>
      </c>
      <c r="L2113" s="21">
        <v>0.71640000000000004</v>
      </c>
      <c r="M2113" s="110">
        <f>IF(L2113="",I2113,(MIN(J2113,(L2113*1.6*J2113))))</f>
        <v>705</v>
      </c>
      <c r="N2113" s="111">
        <f>IF(M2113=0,0,(M2113/J2113))</f>
        <v>1</v>
      </c>
    </row>
    <row r="2114" spans="2:14">
      <c r="B2114" s="72">
        <v>127681</v>
      </c>
      <c r="C2114" s="47" t="str">
        <f>"ORANGE"</f>
        <v>ORANGE</v>
      </c>
      <c r="D2114" s="123">
        <f>SUMIF(B$3:B$3844,B2114,M$3:M$3844)/(SUMIF(B$3:B$3844,B2114,J$3:J$3844))</f>
        <v>0.38094301842471529</v>
      </c>
      <c r="E2114" s="47">
        <v>16062064</v>
      </c>
      <c r="F2114" s="48" t="s">
        <v>2173</v>
      </c>
      <c r="G2114" s="47"/>
      <c r="H2114" s="47"/>
      <c r="I2114" s="40">
        <v>148</v>
      </c>
      <c r="J2114" s="40">
        <v>237</v>
      </c>
      <c r="K2114" s="20"/>
      <c r="L2114" s="21"/>
      <c r="M2114" s="110">
        <f>IF(L2114="",I2114,(MIN(J2114,(L2114*1.6*J2114))))</f>
        <v>148</v>
      </c>
      <c r="N2114" s="111">
        <f>IF(M2114=0,0,(M2114/J2114))</f>
        <v>0.62447257383966248</v>
      </c>
    </row>
    <row r="2115" spans="2:14">
      <c r="B2115" s="73">
        <v>127681</v>
      </c>
      <c r="C2115" s="23" t="str">
        <f>"ORANGE"</f>
        <v>ORANGE</v>
      </c>
      <c r="D2115" s="123">
        <f>SUMIF(B$3:B$3844,B2115,M$3:M$3844)/(SUMIF(B$3:B$3844,B2115,J$3:J$3844))</f>
        <v>0.38094301842471529</v>
      </c>
      <c r="E2115" s="23">
        <v>225525</v>
      </c>
      <c r="F2115" s="46" t="str">
        <f>"CHAIN OF LAKES MIDDLE"</f>
        <v>CHAIN OF LAKES MIDDLE</v>
      </c>
      <c r="G2115" s="23"/>
      <c r="H2115" s="23"/>
      <c r="I2115" s="41">
        <v>884</v>
      </c>
      <c r="J2115" s="41">
        <v>1310</v>
      </c>
      <c r="K2115" s="20"/>
      <c r="L2115" s="21"/>
      <c r="M2115" s="110">
        <f>IF(L2115="",I2115,(MIN(J2115,(L2115*1.6*J2115))))</f>
        <v>884</v>
      </c>
      <c r="N2115" s="111">
        <f>IF(M2115=0,0,(M2115/J2115))</f>
        <v>0.67480916030534355</v>
      </c>
    </row>
    <row r="2116" spans="2:14">
      <c r="B2116" s="72">
        <v>127681</v>
      </c>
      <c r="C2116" s="47" t="str">
        <f>"ORANGE"</f>
        <v>ORANGE</v>
      </c>
      <c r="D2116" s="123">
        <f>SUMIF(B$3:B$3844,B2116,M$3:M$3844)/(SUMIF(B$3:B$3844,B2116,J$3:J$3844))</f>
        <v>0.38094301842471529</v>
      </c>
      <c r="E2116" s="47">
        <v>16050086</v>
      </c>
      <c r="F2116" s="48" t="str">
        <f>"CHANCERY HIGH CHARTER"</f>
        <v>CHANCERY HIGH CHARTER</v>
      </c>
      <c r="G2116" s="47"/>
      <c r="H2116" s="47"/>
      <c r="I2116" s="40"/>
      <c r="J2116" s="40">
        <v>470</v>
      </c>
      <c r="K2116" s="20"/>
      <c r="L2116" s="21"/>
      <c r="M2116" s="110">
        <f>IF(L2116="",I2116,(MIN(J2116,(L2116*1.6*J2116))))</f>
        <v>0</v>
      </c>
      <c r="N2116" s="111">
        <f>IF(M2116=0,0,(M2116/J2116))</f>
        <v>0</v>
      </c>
    </row>
    <row r="2117" spans="2:14">
      <c r="B2117" s="73">
        <v>127681</v>
      </c>
      <c r="C2117" s="23" t="str">
        <f>"ORANGE"</f>
        <v>ORANGE</v>
      </c>
      <c r="D2117" s="123">
        <f>SUMIF(B$3:B$3844,B2117,M$3:M$3844)/(SUMIF(B$3:B$3844,B2117,J$3:J$3844))</f>
        <v>0.38094301842471529</v>
      </c>
      <c r="E2117" s="23">
        <v>36049</v>
      </c>
      <c r="F2117" s="46" t="str">
        <f>"CHENEY ELEMENTARY"</f>
        <v>CHENEY ELEMENTARY</v>
      </c>
      <c r="G2117" s="23"/>
      <c r="H2117" s="23"/>
      <c r="I2117" s="41"/>
      <c r="J2117" s="41">
        <v>545</v>
      </c>
      <c r="K2117" s="20"/>
      <c r="L2117" s="21"/>
      <c r="M2117" s="110">
        <f>IF(L2117="",I2117,(MIN(J2117,(L2117*1.6*J2117))))</f>
        <v>0</v>
      </c>
      <c r="N2117" s="111">
        <f>IF(M2117=0,0,(M2117/J2117))</f>
        <v>0</v>
      </c>
    </row>
    <row r="2118" spans="2:14">
      <c r="B2118" s="72">
        <v>127681</v>
      </c>
      <c r="C2118" s="47" t="str">
        <f>"ORANGE"</f>
        <v>ORANGE</v>
      </c>
      <c r="D2118" s="123">
        <f>SUMIF(B$3:B$3844,B2118,M$3:M$3844)/(SUMIF(B$3:B$3844,B2118,J$3:J$3844))</f>
        <v>0.38094301842471529</v>
      </c>
      <c r="E2118" s="47">
        <v>35997</v>
      </c>
      <c r="F2118" s="48" t="str">
        <f>"CHEROKEE"</f>
        <v>CHEROKEE</v>
      </c>
      <c r="G2118" s="47"/>
      <c r="H2118" s="47"/>
      <c r="I2118" s="40">
        <v>33</v>
      </c>
      <c r="J2118" s="40">
        <v>46</v>
      </c>
      <c r="K2118" s="20"/>
      <c r="L2118" s="21"/>
      <c r="M2118" s="110">
        <f>IF(L2118="",I2118,(MIN(J2118,(L2118*1.6*J2118))))</f>
        <v>33</v>
      </c>
      <c r="N2118" s="111">
        <f>IF(M2118=0,0,(M2118/J2118))</f>
        <v>0.71739130434782605</v>
      </c>
    </row>
    <row r="2119" spans="2:14">
      <c r="B2119" s="73">
        <v>127681</v>
      </c>
      <c r="C2119" s="23" t="str">
        <f>"ORANGE"</f>
        <v>ORANGE</v>
      </c>
      <c r="D2119" s="123">
        <f>SUMIF(B$3:B$3844,B2119,M$3:M$3844)/(SUMIF(B$3:B$3844,B2119,J$3:J$3844))</f>
        <v>0.38094301842471529</v>
      </c>
      <c r="E2119" s="23">
        <v>36124</v>
      </c>
      <c r="F2119" s="46" t="str">
        <f>"CHICKASAW ELEMENTARY"</f>
        <v>CHICKASAW ELEMENTARY</v>
      </c>
      <c r="G2119" s="23"/>
      <c r="H2119" s="23"/>
      <c r="I2119" s="41"/>
      <c r="J2119" s="41">
        <v>731</v>
      </c>
      <c r="K2119" s="20"/>
      <c r="L2119" s="21"/>
      <c r="M2119" s="110">
        <f>IF(L2119="",I2119,(MIN(J2119,(L2119*1.6*J2119))))</f>
        <v>0</v>
      </c>
      <c r="N2119" s="111">
        <f>IF(M2119=0,0,(M2119/J2119))</f>
        <v>0</v>
      </c>
    </row>
    <row r="2120" spans="2:14">
      <c r="B2120" s="72">
        <v>127681</v>
      </c>
      <c r="C2120" s="47" t="str">
        <f>"ORANGE"</f>
        <v>ORANGE</v>
      </c>
      <c r="D2120" s="123">
        <f>SUMIF(B$3:B$3844,B2120,M$3:M$3844)/(SUMIF(B$3:B$3844,B2120,J$3:J$3844))</f>
        <v>0.38094301842471529</v>
      </c>
      <c r="E2120" s="47">
        <v>228350</v>
      </c>
      <c r="F2120" s="48" t="str">
        <f>"CITRUS ELEMENTARY"</f>
        <v>CITRUS ELEMENTARY</v>
      </c>
      <c r="G2120" s="47"/>
      <c r="H2120" s="47"/>
      <c r="I2120" s="40">
        <v>463</v>
      </c>
      <c r="J2120" s="40">
        <v>602</v>
      </c>
      <c r="K2120" s="20"/>
      <c r="L2120" s="21"/>
      <c r="M2120" s="110">
        <f>IF(L2120="",I2120,(MIN(J2120,(L2120*1.6*J2120))))</f>
        <v>463</v>
      </c>
      <c r="N2120" s="111">
        <f>IF(M2120=0,0,(M2120/J2120))</f>
        <v>0.76910299003322258</v>
      </c>
    </row>
    <row r="2121" spans="2:14">
      <c r="B2121" s="73">
        <v>127681</v>
      </c>
      <c r="C2121" s="23" t="str">
        <f>"ORANGE"</f>
        <v>ORANGE</v>
      </c>
      <c r="D2121" s="123">
        <f>SUMIF(B$3:B$3844,B2121,M$3:M$3844)/(SUMIF(B$3:B$3844,B2121,J$3:J$3844))</f>
        <v>0.38094301842471529</v>
      </c>
      <c r="E2121" s="23">
        <v>35796</v>
      </c>
      <c r="F2121" s="46" t="str">
        <f>"CLARCONA ELEMENTARY"</f>
        <v>CLARCONA ELEMENTARY</v>
      </c>
      <c r="G2121" s="23"/>
      <c r="H2121" s="23"/>
      <c r="I2121" s="41">
        <v>740</v>
      </c>
      <c r="J2121" s="41">
        <v>1013</v>
      </c>
      <c r="K2121" s="20"/>
      <c r="L2121" s="21"/>
      <c r="M2121" s="110">
        <f>IF(L2121="",I2121,(MIN(J2121,(L2121*1.6*J2121))))</f>
        <v>740</v>
      </c>
      <c r="N2121" s="111">
        <f>IF(M2121=0,0,(M2121/J2121))</f>
        <v>0.73050345508390913</v>
      </c>
    </row>
    <row r="2122" spans="2:14">
      <c r="B2122" s="72">
        <v>127681</v>
      </c>
      <c r="C2122" s="47" t="str">
        <f>"ORANGE"</f>
        <v>ORANGE</v>
      </c>
      <c r="D2122" s="123">
        <f>SUMIF(B$3:B$3844,B2122,M$3:M$3844)/(SUMIF(B$3:B$3844,B2122,J$3:J$3844))</f>
        <v>0.38094301842471529</v>
      </c>
      <c r="E2122" s="47">
        <v>35813</v>
      </c>
      <c r="F2122" s="48" t="str">
        <f>"CLAY SPRINGS ELEMENTARY"</f>
        <v>CLAY SPRINGS ELEMENTARY</v>
      </c>
      <c r="G2122" s="47"/>
      <c r="H2122" s="47"/>
      <c r="I2122" s="40">
        <v>511</v>
      </c>
      <c r="J2122" s="40">
        <v>739</v>
      </c>
      <c r="K2122" s="20"/>
      <c r="L2122" s="21"/>
      <c r="M2122" s="110">
        <f>IF(L2122="",I2122,(MIN(J2122,(L2122*1.6*J2122))))</f>
        <v>511</v>
      </c>
      <c r="N2122" s="111">
        <f>IF(M2122=0,0,(M2122/J2122))</f>
        <v>0.69147496617050064</v>
      </c>
    </row>
    <row r="2123" spans="2:14">
      <c r="B2123" s="73">
        <v>127681</v>
      </c>
      <c r="C2123" s="23" t="str">
        <f>"ORANGE"</f>
        <v>ORANGE</v>
      </c>
      <c r="D2123" s="123">
        <f>SUMIF(B$3:B$3844,B2123,M$3:M$3844)/(SUMIF(B$3:B$3844,B2123,J$3:J$3844))</f>
        <v>0.38094301842471529</v>
      </c>
      <c r="E2123" s="23">
        <v>36046</v>
      </c>
      <c r="F2123" s="46" t="s">
        <v>2174</v>
      </c>
      <c r="G2123" s="23"/>
      <c r="H2123" s="23"/>
      <c r="I2123" s="41"/>
      <c r="J2123" s="41">
        <v>3581</v>
      </c>
      <c r="K2123" s="20"/>
      <c r="L2123" s="21"/>
      <c r="M2123" s="110">
        <f>IF(L2123="",I2123,(MIN(J2123,(L2123*1.6*J2123))))</f>
        <v>0</v>
      </c>
      <c r="N2123" s="111">
        <f>IF(M2123=0,0,(M2123/J2123))</f>
        <v>0</v>
      </c>
    </row>
    <row r="2124" spans="2:14">
      <c r="B2124" s="72">
        <v>127681</v>
      </c>
      <c r="C2124" s="47" t="str">
        <f>"ORANGE"</f>
        <v>ORANGE</v>
      </c>
      <c r="D2124" s="123">
        <f>SUMIF(B$3:B$3844,B2124,M$3:M$3844)/(SUMIF(B$3:B$3844,B2124,J$3:J$3844))</f>
        <v>0.38094301842471529</v>
      </c>
      <c r="E2124" s="47">
        <v>36145</v>
      </c>
      <c r="F2124" s="48" t="str">
        <f>"COLUMBIA ELEMENTARY"</f>
        <v>COLUMBIA ELEMENTARY</v>
      </c>
      <c r="G2124" s="47"/>
      <c r="H2124" s="47"/>
      <c r="I2124" s="40">
        <v>577</v>
      </c>
      <c r="J2124" s="40">
        <v>1040</v>
      </c>
      <c r="K2124" s="20"/>
      <c r="L2124" s="21"/>
      <c r="M2124" s="110">
        <f>IF(L2124="",I2124,(MIN(J2124,(L2124*1.6*J2124))))</f>
        <v>577</v>
      </c>
      <c r="N2124" s="111">
        <f>IF(M2124=0,0,(M2124/J2124))</f>
        <v>0.55480769230769234</v>
      </c>
    </row>
    <row r="2125" spans="2:14">
      <c r="B2125" s="73">
        <v>127681</v>
      </c>
      <c r="C2125" s="23" t="str">
        <f>"ORANGE"</f>
        <v>ORANGE</v>
      </c>
      <c r="D2125" s="123">
        <f>SUMIF(B$3:B$3844,B2125,M$3:M$3844)/(SUMIF(B$3:B$3844,B2125,J$3:J$3844))</f>
        <v>0.38094301842471529</v>
      </c>
      <c r="E2125" s="23">
        <v>36091</v>
      </c>
      <c r="F2125" s="46" t="str">
        <f>"CONWAY ELEMENTARY"</f>
        <v>CONWAY ELEMENTARY</v>
      </c>
      <c r="G2125" s="23"/>
      <c r="H2125" s="23"/>
      <c r="I2125" s="41"/>
      <c r="J2125" s="41">
        <v>534</v>
      </c>
      <c r="K2125" s="20"/>
      <c r="L2125" s="21"/>
      <c r="M2125" s="110">
        <f>IF(L2125="",I2125,(MIN(J2125,(L2125*1.6*J2125))))</f>
        <v>0</v>
      </c>
      <c r="N2125" s="111">
        <f>IF(M2125=0,0,(M2125/J2125))</f>
        <v>0</v>
      </c>
    </row>
    <row r="2126" spans="2:14">
      <c r="B2126" s="72">
        <v>127681</v>
      </c>
      <c r="C2126" s="47" t="str">
        <f>"ORANGE"</f>
        <v>ORANGE</v>
      </c>
      <c r="D2126" s="123">
        <f>SUMIF(B$3:B$3844,B2126,M$3:M$3844)/(SUMIF(B$3:B$3844,B2126,J$3:J$3844))</f>
        <v>0.38094301842471529</v>
      </c>
      <c r="E2126" s="47">
        <v>36092</v>
      </c>
      <c r="F2126" s="48" t="str">
        <f>"CONWAY MIDDLE"</f>
        <v>CONWAY MIDDLE</v>
      </c>
      <c r="G2126" s="47"/>
      <c r="H2126" s="47"/>
      <c r="I2126" s="40">
        <v>693</v>
      </c>
      <c r="J2126" s="40">
        <v>1002</v>
      </c>
      <c r="K2126" s="20"/>
      <c r="L2126" s="21"/>
      <c r="M2126" s="110">
        <f>IF(L2126="",I2126,(MIN(J2126,(L2126*1.6*J2126))))</f>
        <v>693</v>
      </c>
      <c r="N2126" s="111">
        <f>IF(M2126=0,0,(M2126/J2126))</f>
        <v>0.69161676646706582</v>
      </c>
    </row>
    <row r="2127" spans="2:14">
      <c r="B2127" s="73">
        <v>127681</v>
      </c>
      <c r="C2127" s="23" t="str">
        <f>"ORANGE"</f>
        <v>ORANGE</v>
      </c>
      <c r="D2127" s="123">
        <f>SUMIF(B$3:B$3844,B2127,M$3:M$3844)/(SUMIF(B$3:B$3844,B2127,J$3:J$3844))</f>
        <v>0.38094301842471529</v>
      </c>
      <c r="E2127" s="23">
        <v>157244</v>
      </c>
      <c r="F2127" s="46" t="str">
        <f>"CORNER LAKE MIDDLE"</f>
        <v>CORNER LAKE MIDDLE</v>
      </c>
      <c r="G2127" s="23"/>
      <c r="H2127" s="23"/>
      <c r="I2127" s="41">
        <v>784</v>
      </c>
      <c r="J2127" s="41">
        <v>1276</v>
      </c>
      <c r="K2127" s="20"/>
      <c r="L2127" s="21"/>
      <c r="M2127" s="110">
        <f>IF(L2127="",I2127,(MIN(J2127,(L2127*1.6*J2127))))</f>
        <v>784</v>
      </c>
      <c r="N2127" s="111">
        <f>IF(M2127=0,0,(M2127/J2127))</f>
        <v>0.61442006269592475</v>
      </c>
    </row>
    <row r="2128" spans="2:14">
      <c r="B2128" s="72">
        <v>127681</v>
      </c>
      <c r="C2128" s="47" t="str">
        <f>"ORANGE"</f>
        <v>ORANGE</v>
      </c>
      <c r="D2128" s="123">
        <f>SUMIF(B$3:B$3844,B2128,M$3:M$3844)/(SUMIF(B$3:B$3844,B2128,J$3:J$3844))</f>
        <v>0.38094301842471529</v>
      </c>
      <c r="E2128" s="47">
        <v>16061797</v>
      </c>
      <c r="F2128" s="48" t="str">
        <f>"CORNERSTONE ACADEMY CHARTER"</f>
        <v>CORNERSTONE ACADEMY CHARTER</v>
      </c>
      <c r="G2128" s="47"/>
      <c r="H2128" s="47"/>
      <c r="I2128" s="40"/>
      <c r="J2128" s="40">
        <v>942</v>
      </c>
      <c r="K2128" s="20"/>
      <c r="L2128" s="21"/>
      <c r="M2128" s="110">
        <f>IF(L2128="",I2128,(MIN(J2128,(L2128*1.6*J2128))))</f>
        <v>0</v>
      </c>
      <c r="N2128" s="111">
        <f>IF(M2128=0,0,(M2128/J2128))</f>
        <v>0</v>
      </c>
    </row>
    <row r="2129" spans="2:14">
      <c r="B2129" s="73">
        <v>127681</v>
      </c>
      <c r="C2129" s="23" t="str">
        <f>"ORANGE"</f>
        <v>ORANGE</v>
      </c>
      <c r="D2129" s="123">
        <f>SUMIF(B$3:B$3844,B2129,M$3:M$3844)/(SUMIF(B$3:B$3844,B2129,J$3:J$3844))</f>
        <v>0.38094301842471529</v>
      </c>
      <c r="E2129" s="23">
        <v>36127</v>
      </c>
      <c r="F2129" s="46" t="str">
        <f>"CYPRESS CREEK HIGH"</f>
        <v>CYPRESS CREEK HIGH</v>
      </c>
      <c r="G2129" s="23"/>
      <c r="H2129" s="23"/>
      <c r="I2129" s="41">
        <v>2347</v>
      </c>
      <c r="J2129" s="41">
        <v>3159</v>
      </c>
      <c r="K2129" s="20"/>
      <c r="L2129" s="21"/>
      <c r="M2129" s="110">
        <f>IF(L2129="",I2129,(MIN(J2129,(L2129*1.6*J2129))))</f>
        <v>2347</v>
      </c>
      <c r="N2129" s="111">
        <f>IF(M2129=0,0,(M2129/J2129))</f>
        <v>0.74295663184552074</v>
      </c>
    </row>
    <row r="2130" spans="2:14">
      <c r="B2130" s="72">
        <v>127681</v>
      </c>
      <c r="C2130" s="47" t="str">
        <f>"ORANGE"</f>
        <v>ORANGE</v>
      </c>
      <c r="D2130" s="123">
        <f>SUMIF(B$3:B$3844,B2130,M$3:M$3844)/(SUMIF(B$3:B$3844,B2130,J$3:J$3844))</f>
        <v>0.38094301842471529</v>
      </c>
      <c r="E2130" s="47">
        <v>36128</v>
      </c>
      <c r="F2130" s="48" t="str">
        <f>"CYPRESS PARK ELEMENTARY"</f>
        <v>CYPRESS PARK ELEMENTARY</v>
      </c>
      <c r="G2130" s="47"/>
      <c r="H2130" s="47"/>
      <c r="I2130" s="40"/>
      <c r="J2130" s="40">
        <v>270</v>
      </c>
      <c r="K2130" s="20"/>
      <c r="L2130" s="21"/>
      <c r="M2130" s="110">
        <f>IF(L2130="",I2130,(MIN(J2130,(L2130*1.6*J2130))))</f>
        <v>0</v>
      </c>
      <c r="N2130" s="111">
        <f>IF(M2130=0,0,(M2130/J2130))</f>
        <v>0</v>
      </c>
    </row>
    <row r="2131" spans="2:14">
      <c r="B2131" s="73">
        <v>127681</v>
      </c>
      <c r="C2131" s="23" t="str">
        <f>"ORANGE"</f>
        <v>ORANGE</v>
      </c>
      <c r="D2131" s="123">
        <f>SUMIF(B$3:B$3844,B2131,M$3:M$3844)/(SUMIF(B$3:B$3844,B2131,J$3:J$3844))</f>
        <v>0.38094301842471529</v>
      </c>
      <c r="E2131" s="23">
        <v>36136</v>
      </c>
      <c r="F2131" s="46" t="str">
        <f>"CYPRESS SPRINGS ELEMENTARY"</f>
        <v>CYPRESS SPRINGS ELEMENTARY</v>
      </c>
      <c r="G2131" s="23"/>
      <c r="H2131" s="23"/>
      <c r="I2131" s="41">
        <v>395</v>
      </c>
      <c r="J2131" s="41">
        <v>791</v>
      </c>
      <c r="K2131" s="20"/>
      <c r="L2131" s="21"/>
      <c r="M2131" s="110">
        <f>IF(L2131="",I2131,(MIN(J2131,(L2131*1.6*J2131))))</f>
        <v>395</v>
      </c>
      <c r="N2131" s="111">
        <f>IF(M2131=0,0,(M2131/J2131))</f>
        <v>0.4993678887484197</v>
      </c>
    </row>
    <row r="2132" spans="2:14">
      <c r="B2132" s="72">
        <v>127681</v>
      </c>
      <c r="C2132" s="47" t="str">
        <f>"ORANGE"</f>
        <v>ORANGE</v>
      </c>
      <c r="D2132" s="123">
        <f>SUMIF(B$3:B$3844,B2132,M$3:M$3844)/(SUMIF(B$3:B$3844,B2132,J$3:J$3844))</f>
        <v>0.38094301842471529</v>
      </c>
      <c r="E2132" s="47">
        <v>36135</v>
      </c>
      <c r="F2132" s="48" t="str">
        <f>"DEERWOOD ELEMENTARY"</f>
        <v>DEERWOOD ELEMENTARY</v>
      </c>
      <c r="G2132" s="47"/>
      <c r="H2132" s="47"/>
      <c r="I2132" s="40">
        <v>267</v>
      </c>
      <c r="J2132" s="40">
        <v>455</v>
      </c>
      <c r="K2132" s="20"/>
      <c r="L2132" s="21"/>
      <c r="M2132" s="110">
        <f>IF(L2132="",I2132,(MIN(J2132,(L2132*1.6*J2132))))</f>
        <v>267</v>
      </c>
      <c r="N2132" s="111">
        <f>IF(M2132=0,0,(M2132/J2132))</f>
        <v>0.58681318681318684</v>
      </c>
    </row>
    <row r="2133" spans="2:14">
      <c r="B2133" s="73">
        <v>127681</v>
      </c>
      <c r="C2133" s="23" t="str">
        <f>"ORANGE"</f>
        <v>ORANGE</v>
      </c>
      <c r="D2133" s="123">
        <f>SUMIF(B$3:B$3844,B2133,M$3:M$3844)/(SUMIF(B$3:B$3844,B2133,J$3:J$3844))</f>
        <v>0.38094301842471529</v>
      </c>
      <c r="E2133" s="23">
        <v>16083823</v>
      </c>
      <c r="F2133" s="46" t="str">
        <f>"DEVEREUX TREATMENT PROGRAM"</f>
        <v>DEVEREUX TREATMENT PROGRAM</v>
      </c>
      <c r="G2133" s="23"/>
      <c r="H2133" s="23"/>
      <c r="I2133" s="41"/>
      <c r="J2133" s="41">
        <v>15</v>
      </c>
      <c r="K2133" s="20"/>
      <c r="L2133" s="21"/>
      <c r="M2133" s="110">
        <f>IF(L2133="",I2133,(MIN(J2133,(L2133*1.6*J2133))))</f>
        <v>0</v>
      </c>
      <c r="N2133" s="111">
        <f>IF(M2133=0,0,(M2133/J2133))</f>
        <v>0</v>
      </c>
    </row>
    <row r="2134" spans="2:14">
      <c r="B2134" s="72">
        <v>127681</v>
      </c>
      <c r="C2134" s="47" t="str">
        <f>"ORANGE"</f>
        <v>ORANGE</v>
      </c>
      <c r="D2134" s="123">
        <f>SUMIF(B$3:B$3844,B2134,M$3:M$3844)/(SUMIF(B$3:B$3844,B2134,J$3:J$3844))</f>
        <v>0.38094301842471529</v>
      </c>
      <c r="E2134" s="47">
        <v>38788</v>
      </c>
      <c r="F2134" s="48" t="str">
        <f>"DILLARD STREET ELEMENTARY"</f>
        <v>DILLARD STREET ELEMENTARY</v>
      </c>
      <c r="G2134" s="47"/>
      <c r="H2134" s="47"/>
      <c r="I2134" s="40">
        <v>521</v>
      </c>
      <c r="J2134" s="40">
        <v>722</v>
      </c>
      <c r="K2134" s="20"/>
      <c r="L2134" s="21"/>
      <c r="M2134" s="110">
        <f>IF(L2134="",I2134,(MIN(J2134,(L2134*1.6*J2134))))</f>
        <v>521</v>
      </c>
      <c r="N2134" s="111">
        <f>IF(M2134=0,0,(M2134/J2134))</f>
        <v>0.72160664819944598</v>
      </c>
    </row>
    <row r="2135" spans="2:14">
      <c r="B2135" s="73">
        <v>127681</v>
      </c>
      <c r="C2135" s="23" t="str">
        <f>"ORANGE"</f>
        <v>ORANGE</v>
      </c>
      <c r="D2135" s="123">
        <f>SUMIF(B$3:B$3844,B2135,M$3:M$3844)/(SUMIF(B$3:B$3844,B2135,J$3:J$3844))</f>
        <v>0.38094301842471529</v>
      </c>
      <c r="E2135" s="23">
        <v>36140</v>
      </c>
      <c r="F2135" s="46" t="str">
        <f>"DISCOVERY MIDDLE"</f>
        <v>DISCOVERY MIDDLE</v>
      </c>
      <c r="G2135" s="23"/>
      <c r="H2135" s="23"/>
      <c r="I2135" s="41">
        <v>382</v>
      </c>
      <c r="J2135" s="41">
        <v>886</v>
      </c>
      <c r="K2135" s="20"/>
      <c r="L2135" s="21"/>
      <c r="M2135" s="110">
        <f>IF(L2135="",I2135,(MIN(J2135,(L2135*1.6*J2135))))</f>
        <v>382</v>
      </c>
      <c r="N2135" s="111">
        <f>IF(M2135=0,0,(M2135/J2135))</f>
        <v>0.43115124153498874</v>
      </c>
    </row>
    <row r="2136" spans="2:14">
      <c r="B2136" s="72">
        <v>127681</v>
      </c>
      <c r="C2136" s="47" t="str">
        <f>"ORANGE"</f>
        <v>ORANGE</v>
      </c>
      <c r="D2136" s="123">
        <f>SUMIF(B$3:B$3844,B2136,M$3:M$3844)/(SUMIF(B$3:B$3844,B2136,J$3:J$3844))</f>
        <v>0.38094301842471529</v>
      </c>
      <c r="E2136" s="47">
        <v>35885</v>
      </c>
      <c r="F2136" s="48" t="str">
        <f>"DOMMERICH ELEMENTARY"</f>
        <v>DOMMERICH ELEMENTARY</v>
      </c>
      <c r="G2136" s="47"/>
      <c r="H2136" s="47"/>
      <c r="I2136" s="40">
        <v>145</v>
      </c>
      <c r="J2136" s="40">
        <v>605</v>
      </c>
      <c r="K2136" s="20"/>
      <c r="L2136" s="21"/>
      <c r="M2136" s="110">
        <f>IF(L2136="",I2136,(MIN(J2136,(L2136*1.6*J2136))))</f>
        <v>145</v>
      </c>
      <c r="N2136" s="111">
        <f>IF(M2136=0,0,(M2136/J2136))</f>
        <v>0.23966942148760331</v>
      </c>
    </row>
    <row r="2137" spans="2:14">
      <c r="B2137" s="73">
        <v>127681</v>
      </c>
      <c r="C2137" s="23" t="str">
        <f>"ORANGE"</f>
        <v>ORANGE</v>
      </c>
      <c r="D2137" s="123">
        <f>SUMIF(B$3:B$3844,B2137,M$3:M$3844)/(SUMIF(B$3:B$3844,B2137,J$3:J$3844))</f>
        <v>0.38094301842471529</v>
      </c>
      <c r="E2137" s="23">
        <v>36089</v>
      </c>
      <c r="F2137" s="46" t="str">
        <f>"DOVER SHORES ELEMENTARY"</f>
        <v>DOVER SHORES ELEMENTARY</v>
      </c>
      <c r="G2137" s="23"/>
      <c r="H2137" s="23"/>
      <c r="I2137" s="41"/>
      <c r="J2137" s="41">
        <v>568</v>
      </c>
      <c r="K2137" s="20"/>
      <c r="L2137" s="21"/>
      <c r="M2137" s="110">
        <f>IF(L2137="",I2137,(MIN(J2137,(L2137*1.6*J2137))))</f>
        <v>0</v>
      </c>
      <c r="N2137" s="111">
        <f>IF(M2137=0,0,(M2137/J2137))</f>
        <v>0</v>
      </c>
    </row>
    <row r="2138" spans="2:14">
      <c r="B2138" s="72">
        <v>127681</v>
      </c>
      <c r="C2138" s="47" t="str">
        <f>"ORANGE"</f>
        <v>ORANGE</v>
      </c>
      <c r="D2138" s="123">
        <f>SUMIF(B$3:B$3844,B2138,M$3:M$3844)/(SUMIF(B$3:B$3844,B2138,J$3:J$3844))</f>
        <v>0.38094301842471529</v>
      </c>
      <c r="E2138" s="47">
        <v>16083824</v>
      </c>
      <c r="F2138" s="48" t="str">
        <f>"DR. JAMES R SMITH CENTER"</f>
        <v>DR. JAMES R SMITH CENTER</v>
      </c>
      <c r="G2138" s="47"/>
      <c r="H2138" s="47"/>
      <c r="I2138" s="40"/>
      <c r="J2138" s="40">
        <v>0</v>
      </c>
      <c r="K2138" s="20"/>
      <c r="L2138" s="21"/>
      <c r="M2138" s="110">
        <f>IF(L2138="",I2138,(MIN(J2138,(L2138*1.6*J2138))))</f>
        <v>0</v>
      </c>
      <c r="N2138" s="111">
        <f>IF(M2138=0,0,(M2138/J2138))</f>
        <v>0</v>
      </c>
    </row>
    <row r="2139" spans="2:14">
      <c r="B2139" s="73">
        <v>127681</v>
      </c>
      <c r="C2139" s="23" t="str">
        <f>"ORANGE"</f>
        <v>ORANGE</v>
      </c>
      <c r="D2139" s="123">
        <f>SUMIF(B$3:B$3844,B2139,M$3:M$3844)/(SUMIF(B$3:B$3844,B2139,J$3:J$3844))</f>
        <v>0.38094301842471529</v>
      </c>
      <c r="E2139" s="23">
        <v>36111</v>
      </c>
      <c r="F2139" s="46" t="str">
        <f>"DR. PHILLIPS ELEMENTARY"</f>
        <v>DR. PHILLIPS ELEMENTARY</v>
      </c>
      <c r="G2139" s="23"/>
      <c r="H2139" s="23"/>
      <c r="I2139" s="41">
        <v>245</v>
      </c>
      <c r="J2139" s="41">
        <v>651</v>
      </c>
      <c r="K2139" s="20"/>
      <c r="L2139" s="21"/>
      <c r="M2139" s="110">
        <f>IF(L2139="",I2139,(MIN(J2139,(L2139*1.6*J2139))))</f>
        <v>245</v>
      </c>
      <c r="N2139" s="111">
        <f>IF(M2139=0,0,(M2139/J2139))</f>
        <v>0.37634408602150538</v>
      </c>
    </row>
    <row r="2140" spans="2:14">
      <c r="B2140" s="72">
        <v>127681</v>
      </c>
      <c r="C2140" s="47" t="str">
        <f>"ORANGE"</f>
        <v>ORANGE</v>
      </c>
      <c r="D2140" s="123">
        <f>SUMIF(B$3:B$3844,B2140,M$3:M$3844)/(SUMIF(B$3:B$3844,B2140,J$3:J$3844))</f>
        <v>0.38094301842471529</v>
      </c>
      <c r="E2140" s="47">
        <v>36114</v>
      </c>
      <c r="F2140" s="48" t="s">
        <v>2175</v>
      </c>
      <c r="G2140" s="47"/>
      <c r="H2140" s="47"/>
      <c r="I2140" s="40">
        <v>1840</v>
      </c>
      <c r="J2140" s="40">
        <v>3580</v>
      </c>
      <c r="K2140" s="20"/>
      <c r="L2140" s="21"/>
      <c r="M2140" s="110">
        <f>IF(L2140="",I2140,(MIN(J2140,(L2140*1.6*J2140))))</f>
        <v>1840</v>
      </c>
      <c r="N2140" s="111">
        <f>IF(M2140=0,0,(M2140/J2140))</f>
        <v>0.51396648044692739</v>
      </c>
    </row>
    <row r="2141" spans="2:14">
      <c r="B2141" s="73">
        <v>127681</v>
      </c>
      <c r="C2141" s="23" t="str">
        <f>"ORANGE"</f>
        <v>ORANGE</v>
      </c>
      <c r="D2141" s="123">
        <f>SUMIF(B$3:B$3844,B2141,M$3:M$3844)/(SUMIF(B$3:B$3844,B2141,J$3:J$3844))</f>
        <v>0.38094301842471529</v>
      </c>
      <c r="E2141" s="23">
        <v>35811</v>
      </c>
      <c r="F2141" s="46" t="str">
        <f>"DREAM LAKE ELEMENTARY"</f>
        <v>DREAM LAKE ELEMENTARY</v>
      </c>
      <c r="G2141" s="23"/>
      <c r="H2141" s="23"/>
      <c r="I2141" s="41">
        <v>584</v>
      </c>
      <c r="J2141" s="41">
        <v>786</v>
      </c>
      <c r="K2141" s="20"/>
      <c r="L2141" s="21"/>
      <c r="M2141" s="110">
        <f>IF(L2141="",I2141,(MIN(J2141,(L2141*1.6*J2141))))</f>
        <v>584</v>
      </c>
      <c r="N2141" s="111">
        <f>IF(M2141=0,0,(M2141/J2141))</f>
        <v>0.74300254452926207</v>
      </c>
    </row>
    <row r="2142" spans="2:14">
      <c r="B2142" s="72">
        <v>127681</v>
      </c>
      <c r="C2142" s="47" t="str">
        <f>"ORANGE"</f>
        <v>ORANGE</v>
      </c>
      <c r="D2142" s="123">
        <f>SUMIF(B$3:B$3844,B2142,M$3:M$3844)/(SUMIF(B$3:B$3844,B2142,J$3:J$3844))</f>
        <v>0.38094301842471529</v>
      </c>
      <c r="E2142" s="47">
        <v>36139</v>
      </c>
      <c r="F2142" s="48" t="str">
        <f>"DURRANCE ELEMENTARY"</f>
        <v>DURRANCE ELEMENTARY</v>
      </c>
      <c r="G2142" s="47"/>
      <c r="H2142" s="47"/>
      <c r="I2142" s="40"/>
      <c r="J2142" s="40">
        <v>358</v>
      </c>
      <c r="K2142" s="20"/>
      <c r="L2142" s="21"/>
      <c r="M2142" s="110">
        <f>IF(L2142="",I2142,(MIN(J2142,(L2142*1.6*J2142))))</f>
        <v>0</v>
      </c>
      <c r="N2142" s="111">
        <f>IF(M2142=0,0,(M2142/J2142))</f>
        <v>0</v>
      </c>
    </row>
    <row r="2143" spans="2:14">
      <c r="B2143" s="73">
        <v>127681</v>
      </c>
      <c r="C2143" s="23" t="str">
        <f>"ORANGE"</f>
        <v>ORANGE</v>
      </c>
      <c r="D2143" s="123">
        <f>SUMIF(B$3:B$3844,B2143,M$3:M$3844)/(SUMIF(B$3:B$3844,B2143,J$3:J$3844))</f>
        <v>0.38094301842471529</v>
      </c>
      <c r="E2143" s="23">
        <v>17000002</v>
      </c>
      <c r="F2143" s="46" t="str">
        <f>"EAGLE CREEK ELEMENARY"</f>
        <v>EAGLE CREEK ELEMENARY</v>
      </c>
      <c r="G2143" s="23"/>
      <c r="H2143" s="23"/>
      <c r="I2143" s="41">
        <v>281</v>
      </c>
      <c r="J2143" s="41">
        <v>946</v>
      </c>
      <c r="K2143" s="20"/>
      <c r="L2143" s="21"/>
      <c r="M2143" s="110">
        <f>IF(L2143="",I2143,(MIN(J2143,(L2143*1.6*J2143))))</f>
        <v>281</v>
      </c>
      <c r="N2143" s="111">
        <f>IF(M2143=0,0,(M2143/J2143))</f>
        <v>0.29704016913319237</v>
      </c>
    </row>
    <row r="2144" spans="2:14">
      <c r="B2144" s="72">
        <v>127681</v>
      </c>
      <c r="C2144" s="47" t="str">
        <f>"ORANGE"</f>
        <v>ORANGE</v>
      </c>
      <c r="D2144" s="123">
        <f>SUMIF(B$3:B$3844,B2144,M$3:M$3844)/(SUMIF(B$3:B$3844,B2144,J$3:J$3844))</f>
        <v>0.38094301842471529</v>
      </c>
      <c r="E2144" s="47">
        <v>16025345</v>
      </c>
      <c r="F2144" s="48" t="str">
        <f>"EAGLES NEST ELEMENTARY"</f>
        <v>EAGLES NEST ELEMENTARY</v>
      </c>
      <c r="G2144" s="47"/>
      <c r="H2144" s="47"/>
      <c r="I2144" s="40"/>
      <c r="J2144" s="40">
        <v>762</v>
      </c>
      <c r="K2144" s="20"/>
      <c r="L2144" s="21"/>
      <c r="M2144" s="110">
        <f>IF(L2144="",I2144,(MIN(J2144,(L2144*1.6*J2144))))</f>
        <v>0</v>
      </c>
      <c r="N2144" s="111">
        <f>IF(M2144=0,0,(M2144/J2144))</f>
        <v>0</v>
      </c>
    </row>
    <row r="2145" spans="2:14">
      <c r="B2145" s="73">
        <v>127681</v>
      </c>
      <c r="C2145" s="23" t="str">
        <f>"ORANGE"</f>
        <v>ORANGE</v>
      </c>
      <c r="D2145" s="123">
        <f>SUMIF(B$3:B$3844,B2145,M$3:M$3844)/(SUMIF(B$3:B$3844,B2145,J$3:J$3844))</f>
        <v>0.38094301842471529</v>
      </c>
      <c r="E2145" s="23">
        <v>16033381</v>
      </c>
      <c r="F2145" s="46" t="str">
        <f>"EAST LAKE ELEMENTARY"</f>
        <v>EAST LAKE ELEMENTARY</v>
      </c>
      <c r="G2145" s="23"/>
      <c r="H2145" s="23"/>
      <c r="I2145" s="41">
        <v>367</v>
      </c>
      <c r="J2145" s="41">
        <v>752</v>
      </c>
      <c r="K2145" s="20"/>
      <c r="L2145" s="21"/>
      <c r="M2145" s="110">
        <f>IF(L2145="",I2145,(MIN(J2145,(L2145*1.6*J2145))))</f>
        <v>367</v>
      </c>
      <c r="N2145" s="111">
        <f>IF(M2145=0,0,(M2145/J2145))</f>
        <v>0.48803191489361702</v>
      </c>
    </row>
    <row r="2146" spans="2:14">
      <c r="B2146" s="72">
        <v>127681</v>
      </c>
      <c r="C2146" s="47" t="str">
        <f>"ORANGE"</f>
        <v>ORANGE</v>
      </c>
      <c r="D2146" s="123">
        <f>SUMIF(B$3:B$3844,B2146,M$3:M$3844)/(SUMIF(B$3:B$3844,B2146,J$3:J$3844))</f>
        <v>0.38094301842471529</v>
      </c>
      <c r="E2146" s="47">
        <v>16055545</v>
      </c>
      <c r="F2146" s="48" t="str">
        <f>"EAST RIVER HIGH"</f>
        <v>EAST RIVER HIGH</v>
      </c>
      <c r="G2146" s="47"/>
      <c r="H2146" s="47"/>
      <c r="I2146" s="40">
        <v>1269</v>
      </c>
      <c r="J2146" s="40">
        <v>2096</v>
      </c>
      <c r="K2146" s="20"/>
      <c r="L2146" s="21"/>
      <c r="M2146" s="110">
        <f>IF(L2146="",I2146,(MIN(J2146,(L2146*1.6*J2146))))</f>
        <v>1269</v>
      </c>
      <c r="N2146" s="111">
        <f>IF(M2146=0,0,(M2146/J2146))</f>
        <v>0.60543893129770987</v>
      </c>
    </row>
    <row r="2147" spans="2:14">
      <c r="B2147" s="73">
        <v>127681</v>
      </c>
      <c r="C2147" s="23" t="str">
        <f>"ORANGE"</f>
        <v>ORANGE</v>
      </c>
      <c r="D2147" s="123">
        <f>SUMIF(B$3:B$3844,B2147,M$3:M$3844)/(SUMIF(B$3:B$3844,B2147,J$3:J$3844))</f>
        <v>0.38094301842471529</v>
      </c>
      <c r="E2147" s="23">
        <v>36087</v>
      </c>
      <c r="F2147" s="46" t="str">
        <f>"ECCLESTON ELEMENTARY"</f>
        <v>ECCLESTON ELEMENTARY</v>
      </c>
      <c r="G2147" s="23"/>
      <c r="H2147" s="23"/>
      <c r="I2147" s="41"/>
      <c r="J2147" s="41">
        <v>684</v>
      </c>
      <c r="K2147" s="20">
        <v>2014</v>
      </c>
      <c r="L2147" s="21">
        <v>0.71640000000000004</v>
      </c>
      <c r="M2147" s="110">
        <f>IF(L2147="",I2147,(MIN(J2147,(L2147*1.6*J2147))))</f>
        <v>684</v>
      </c>
      <c r="N2147" s="111">
        <f>IF(M2147=0,0,(M2147/J2147))</f>
        <v>1</v>
      </c>
    </row>
    <row r="2148" spans="2:14">
      <c r="B2148" s="72">
        <v>127681</v>
      </c>
      <c r="C2148" s="47" t="str">
        <f>"ORANGE"</f>
        <v>ORANGE</v>
      </c>
      <c r="D2148" s="123">
        <f>SUMIF(B$3:B$3844,B2148,M$3:M$3844)/(SUMIF(B$3:B$3844,B2148,J$3:J$3844))</f>
        <v>0.38094301842471529</v>
      </c>
      <c r="E2148" s="47">
        <v>36010</v>
      </c>
      <c r="F2148" s="48" t="str">
        <f>"EDGEWATER HIGH"</f>
        <v>EDGEWATER HIGH</v>
      </c>
      <c r="G2148" s="47"/>
      <c r="H2148" s="47"/>
      <c r="I2148" s="40">
        <v>1204</v>
      </c>
      <c r="J2148" s="40">
        <v>1924</v>
      </c>
      <c r="K2148" s="20"/>
      <c r="L2148" s="21"/>
      <c r="M2148" s="110">
        <f>IF(L2148="",I2148,(MIN(J2148,(L2148*1.6*J2148))))</f>
        <v>1204</v>
      </c>
      <c r="N2148" s="111">
        <f>IF(M2148=0,0,(M2148/J2148))</f>
        <v>0.62577962577962576</v>
      </c>
    </row>
    <row r="2149" spans="2:14">
      <c r="B2149" s="73">
        <v>127681</v>
      </c>
      <c r="C2149" s="23" t="str">
        <f>"ORANGE"</f>
        <v>ORANGE</v>
      </c>
      <c r="D2149" s="123">
        <f>SUMIF(B$3:B$3844,B2149,M$3:M$3844)/(SUMIF(B$3:B$3844,B2149,J$3:J$3844))</f>
        <v>0.38094301842471529</v>
      </c>
      <c r="E2149" s="23">
        <v>228349</v>
      </c>
      <c r="F2149" s="46" t="str">
        <f>"ENDEAVOR ELEMENTARY"</f>
        <v>ENDEAVOR ELEMENTARY</v>
      </c>
      <c r="G2149" s="23"/>
      <c r="H2149" s="23"/>
      <c r="I2149" s="41">
        <v>459</v>
      </c>
      <c r="J2149" s="41">
        <v>679</v>
      </c>
      <c r="K2149" s="20"/>
      <c r="L2149" s="21"/>
      <c r="M2149" s="110">
        <f>IF(L2149="",I2149,(MIN(J2149,(L2149*1.6*J2149))))</f>
        <v>459</v>
      </c>
      <c r="N2149" s="111">
        <f>IF(M2149=0,0,(M2149/J2149))</f>
        <v>0.67599410898379975</v>
      </c>
    </row>
    <row r="2150" spans="2:14">
      <c r="B2150" s="72">
        <v>127681</v>
      </c>
      <c r="C2150" s="47" t="str">
        <f>"ORANGE"</f>
        <v>ORANGE</v>
      </c>
      <c r="D2150" s="123">
        <f>SUMIF(B$3:B$3844,B2150,M$3:M$3844)/(SUMIF(B$3:B$3844,B2150,J$3:J$3844))</f>
        <v>0.38094301842471529</v>
      </c>
      <c r="E2150" s="47">
        <v>36048</v>
      </c>
      <c r="F2150" s="48" t="str">
        <f>"ENGELWOOD ELEMENTARY"</f>
        <v>ENGELWOOD ELEMENTARY</v>
      </c>
      <c r="G2150" s="47"/>
      <c r="H2150" s="47"/>
      <c r="I2150" s="40"/>
      <c r="J2150" s="40">
        <v>584</v>
      </c>
      <c r="K2150" s="20">
        <v>2014</v>
      </c>
      <c r="L2150" s="21">
        <v>0.71640000000000004</v>
      </c>
      <c r="M2150" s="110">
        <f>IF(L2150="",I2150,(MIN(J2150,(L2150*1.6*J2150))))</f>
        <v>584</v>
      </c>
      <c r="N2150" s="111">
        <f>IF(M2150=0,0,(M2150/J2150))</f>
        <v>1</v>
      </c>
    </row>
    <row r="2151" spans="2:14">
      <c r="B2151" s="73">
        <v>127681</v>
      </c>
      <c r="C2151" s="23" t="str">
        <f>"ORANGE"</f>
        <v>ORANGE</v>
      </c>
      <c r="D2151" s="123">
        <f>SUMIF(B$3:B$3844,B2151,M$3:M$3844)/(SUMIF(B$3:B$3844,B2151,J$3:J$3844))</f>
        <v>0.38094301842471529</v>
      </c>
      <c r="E2151" s="23">
        <v>17000003</v>
      </c>
      <c r="F2151" s="46" t="str">
        <f>"ESTEEM ACADEMY"</f>
        <v>ESTEEM ACADEMY</v>
      </c>
      <c r="G2151" s="23"/>
      <c r="H2151" s="23"/>
      <c r="I2151" s="41"/>
      <c r="J2151" s="41">
        <v>21</v>
      </c>
      <c r="K2151" s="20"/>
      <c r="L2151" s="21"/>
      <c r="M2151" s="110">
        <f>IF(L2151="",I2151,(MIN(J2151,(L2151*1.6*J2151))))</f>
        <v>0</v>
      </c>
      <c r="N2151" s="111">
        <f>IF(M2151=0,0,(M2151/J2151))</f>
        <v>0</v>
      </c>
    </row>
    <row r="2152" spans="2:14">
      <c r="B2152" s="72">
        <v>127681</v>
      </c>
      <c r="C2152" s="47" t="str">
        <f>"ORANGE"</f>
        <v>ORANGE</v>
      </c>
      <c r="D2152" s="123">
        <f>SUMIF(B$3:B$3844,B2152,M$3:M$3844)/(SUMIF(B$3:B$3844,B2152,J$3:J$3844))</f>
        <v>0.38094301842471529</v>
      </c>
      <c r="E2152" s="47">
        <v>35999</v>
      </c>
      <c r="F2152" s="48" t="str">
        <f>"FERN CREEK ELEMENTARY"</f>
        <v>FERN CREEK ELEMENTARY</v>
      </c>
      <c r="G2152" s="47"/>
      <c r="H2152" s="47"/>
      <c r="I2152" s="40"/>
      <c r="J2152" s="40">
        <v>286</v>
      </c>
      <c r="K2152" s="20"/>
      <c r="L2152" s="21"/>
      <c r="M2152" s="110">
        <f>IF(L2152="",I2152,(MIN(J2152,(L2152*1.6*J2152))))</f>
        <v>0</v>
      </c>
      <c r="N2152" s="111">
        <f>IF(M2152=0,0,(M2152/J2152))</f>
        <v>0</v>
      </c>
    </row>
    <row r="2153" spans="2:14">
      <c r="B2153" s="73">
        <v>127681</v>
      </c>
      <c r="C2153" s="23" t="str">
        <f>"ORANGE"</f>
        <v>ORANGE</v>
      </c>
      <c r="D2153" s="123">
        <f>SUMIF(B$3:B$3844,B2153,M$3:M$3844)/(SUMIF(B$3:B$3844,B2153,J$3:J$3844))</f>
        <v>0.38094301842471529</v>
      </c>
      <c r="E2153" s="23">
        <v>16065989</v>
      </c>
      <c r="F2153" s="46" t="str">
        <f>"FORSYTH WOODS ELEMENTARY"</f>
        <v>FORSYTH WOODS ELEMENTARY</v>
      </c>
      <c r="G2153" s="23"/>
      <c r="H2153" s="23"/>
      <c r="I2153" s="41"/>
      <c r="J2153" s="41">
        <v>739</v>
      </c>
      <c r="K2153" s="20">
        <v>2014</v>
      </c>
      <c r="L2153" s="21">
        <v>0.71640000000000004</v>
      </c>
      <c r="M2153" s="110">
        <f>IF(L2153="",I2153,(MIN(J2153,(L2153*1.6*J2153))))</f>
        <v>739</v>
      </c>
      <c r="N2153" s="111">
        <f>IF(M2153=0,0,(M2153/J2153))</f>
        <v>1</v>
      </c>
    </row>
    <row r="2154" spans="2:14">
      <c r="B2154" s="72">
        <v>127681</v>
      </c>
      <c r="C2154" s="47" t="str">
        <f>"ORANGE"</f>
        <v>ORANGE</v>
      </c>
      <c r="D2154" s="123">
        <f>SUMIF(B$3:B$3844,B2154,M$3:M$3844)/(SUMIF(B$3:B$3844,B2154,J$3:J$3844))</f>
        <v>0.38094301842471529</v>
      </c>
      <c r="E2154" s="47">
        <v>12889705</v>
      </c>
      <c r="F2154" s="48" t="str">
        <f>"FREEDOM HIGH"</f>
        <v>FREEDOM HIGH</v>
      </c>
      <c r="G2154" s="47"/>
      <c r="H2154" s="47"/>
      <c r="I2154" s="40">
        <v>1984</v>
      </c>
      <c r="J2154" s="40">
        <v>3438</v>
      </c>
      <c r="K2154" s="20"/>
      <c r="L2154" s="21"/>
      <c r="M2154" s="110">
        <f>IF(L2154="",I2154,(MIN(J2154,(L2154*1.6*J2154))))</f>
        <v>1984</v>
      </c>
      <c r="N2154" s="111">
        <f>IF(M2154=0,0,(M2154/J2154))</f>
        <v>0.57707969749854571</v>
      </c>
    </row>
    <row r="2155" spans="2:14">
      <c r="B2155" s="73">
        <v>127681</v>
      </c>
      <c r="C2155" s="23" t="str">
        <f>"ORANGE"</f>
        <v>ORANGE</v>
      </c>
      <c r="D2155" s="123">
        <f>SUMIF(B$3:B$3844,B2155,M$3:M$3844)/(SUMIF(B$3:B$3844,B2155,J$3:J$3844))</f>
        <v>0.38094301842471529</v>
      </c>
      <c r="E2155" s="23">
        <v>16033384</v>
      </c>
      <c r="F2155" s="46" t="str">
        <f>"FREEDOM MIDDLE"</f>
        <v>FREEDOM MIDDLE</v>
      </c>
      <c r="G2155" s="23"/>
      <c r="H2155" s="23"/>
      <c r="I2155" s="41"/>
      <c r="J2155" s="41">
        <v>1034</v>
      </c>
      <c r="K2155" s="20"/>
      <c r="L2155" s="21"/>
      <c r="M2155" s="110">
        <f>IF(L2155="",I2155,(MIN(J2155,(L2155*1.6*J2155))))</f>
        <v>0</v>
      </c>
      <c r="N2155" s="111">
        <f>IF(M2155=0,0,(M2155/J2155))</f>
        <v>0</v>
      </c>
    </row>
    <row r="2156" spans="2:14">
      <c r="B2156" s="72">
        <v>127681</v>
      </c>
      <c r="C2156" s="47" t="str">
        <f>"ORANGE"</f>
        <v>ORANGE</v>
      </c>
      <c r="D2156" s="123">
        <f>SUMIF(B$3:B$3844,B2156,M$3:M$3844)/(SUMIF(B$3:B$3844,B2156,J$3:J$3844))</f>
        <v>0.38094301842471529</v>
      </c>
      <c r="E2156" s="47">
        <v>36059</v>
      </c>
      <c r="F2156" s="48" t="str">
        <f>"GATEWAY"</f>
        <v>GATEWAY</v>
      </c>
      <c r="G2156" s="47"/>
      <c r="H2156" s="47"/>
      <c r="I2156" s="40">
        <v>37</v>
      </c>
      <c r="J2156" s="40">
        <v>54</v>
      </c>
      <c r="K2156" s="20"/>
      <c r="L2156" s="21"/>
      <c r="M2156" s="110">
        <f>IF(L2156="",I2156,(MIN(J2156,(L2156*1.6*J2156))))</f>
        <v>37</v>
      </c>
      <c r="N2156" s="111">
        <f>IF(M2156=0,0,(M2156/J2156))</f>
        <v>0.68518518518518523</v>
      </c>
    </row>
    <row r="2157" spans="2:14">
      <c r="B2157" s="73">
        <v>127681</v>
      </c>
      <c r="C2157" s="23" t="str">
        <f>"ORANGE"</f>
        <v>ORANGE</v>
      </c>
      <c r="D2157" s="123">
        <f>SUMIF(B$3:B$3844,B2157,M$3:M$3844)/(SUMIF(B$3:B$3844,B2157,J$3:J$3844))</f>
        <v>0.38094301842471529</v>
      </c>
      <c r="E2157" s="23">
        <v>35967</v>
      </c>
      <c r="F2157" s="46" t="str">
        <f>"GLENRIDGE MIDDLE"</f>
        <v>GLENRIDGE MIDDLE</v>
      </c>
      <c r="G2157" s="23"/>
      <c r="H2157" s="23"/>
      <c r="I2157" s="41">
        <v>671</v>
      </c>
      <c r="J2157" s="41">
        <v>1450</v>
      </c>
      <c r="K2157" s="20"/>
      <c r="L2157" s="21"/>
      <c r="M2157" s="110">
        <f>IF(L2157="",I2157,(MIN(J2157,(L2157*1.6*J2157))))</f>
        <v>671</v>
      </c>
      <c r="N2157" s="111">
        <f>IF(M2157=0,0,(M2157/J2157))</f>
        <v>0.46275862068965518</v>
      </c>
    </row>
    <row r="2158" spans="2:14">
      <c r="B2158" s="72">
        <v>127681</v>
      </c>
      <c r="C2158" s="47" t="str">
        <f>"ORANGE"</f>
        <v>ORANGE</v>
      </c>
      <c r="D2158" s="123">
        <f>SUMIF(B$3:B$3844,B2158,M$3:M$3844)/(SUMIF(B$3:B$3844,B2158,J$3:J$3844))</f>
        <v>0.38094301842471529</v>
      </c>
      <c r="E2158" s="47">
        <v>38786</v>
      </c>
      <c r="F2158" s="48" t="str">
        <f>"GOTHA MIDDLE"</f>
        <v>GOTHA MIDDLE</v>
      </c>
      <c r="G2158" s="47"/>
      <c r="H2158" s="47"/>
      <c r="I2158" s="40">
        <v>718</v>
      </c>
      <c r="J2158" s="40">
        <v>1266</v>
      </c>
      <c r="K2158" s="20"/>
      <c r="L2158" s="21"/>
      <c r="M2158" s="110">
        <f>IF(L2158="",I2158,(MIN(J2158,(L2158*1.6*J2158))))</f>
        <v>718</v>
      </c>
      <c r="N2158" s="111">
        <f>IF(M2158=0,0,(M2158/J2158))</f>
        <v>0.56714060031595581</v>
      </c>
    </row>
    <row r="2159" spans="2:14">
      <c r="B2159" s="73">
        <v>127681</v>
      </c>
      <c r="C2159" s="23" t="str">
        <f>"ORANGE"</f>
        <v>ORANGE</v>
      </c>
      <c r="D2159" s="123">
        <f>SUMIF(B$3:B$3844,B2159,M$3:M$3844)/(SUMIF(B$3:B$3844,B2159,J$3:J$3844))</f>
        <v>0.38094301842471529</v>
      </c>
      <c r="E2159" s="23">
        <v>36021</v>
      </c>
      <c r="F2159" s="46" t="s">
        <v>2176</v>
      </c>
      <c r="G2159" s="23"/>
      <c r="H2159" s="23"/>
      <c r="I2159" s="41"/>
      <c r="J2159" s="41">
        <v>227</v>
      </c>
      <c r="K2159" s="20">
        <v>2014</v>
      </c>
      <c r="L2159" s="21">
        <v>0.71640000000000004</v>
      </c>
      <c r="M2159" s="110">
        <f>IF(L2159="",I2159,(MIN(J2159,(L2159*1.6*J2159))))</f>
        <v>227</v>
      </c>
      <c r="N2159" s="111">
        <f>IF(M2159=0,0,(M2159/J2159))</f>
        <v>1</v>
      </c>
    </row>
    <row r="2160" spans="2:14">
      <c r="B2160" s="72">
        <v>127681</v>
      </c>
      <c r="C2160" s="47" t="str">
        <f>"ORANGE"</f>
        <v>ORANGE</v>
      </c>
      <c r="D2160" s="123">
        <f>SUMIF(B$3:B$3844,B2160,M$3:M$3844)/(SUMIF(B$3:B$3844,B2160,J$3:J$3844))</f>
        <v>0.38094301842471529</v>
      </c>
      <c r="E2160" s="47">
        <v>36104</v>
      </c>
      <c r="F2160" s="48" t="str">
        <f>"HIAWASSEE ELEMENTARY"</f>
        <v>HIAWASSEE ELEMENTARY</v>
      </c>
      <c r="G2160" s="47"/>
      <c r="H2160" s="47"/>
      <c r="I2160" s="40"/>
      <c r="J2160" s="40">
        <v>789</v>
      </c>
      <c r="K2160" s="20"/>
      <c r="L2160" s="21"/>
      <c r="M2160" s="110">
        <f>IF(L2160="",I2160,(MIN(J2160,(L2160*1.6*J2160))))</f>
        <v>0</v>
      </c>
      <c r="N2160" s="111">
        <f>IF(M2160=0,0,(M2160/J2160))</f>
        <v>0</v>
      </c>
    </row>
    <row r="2161" spans="2:14">
      <c r="B2161" s="73">
        <v>127681</v>
      </c>
      <c r="C2161" s="23" t="str">
        <f>"ORANGE"</f>
        <v>ORANGE</v>
      </c>
      <c r="D2161" s="123">
        <f>SUMIF(B$3:B$3844,B2161,M$3:M$3844)/(SUMIF(B$3:B$3844,B2161,J$3:J$3844))</f>
        <v>0.38094301842471529</v>
      </c>
      <c r="E2161" s="23">
        <v>36143</v>
      </c>
      <c r="F2161" s="46" t="str">
        <f>"HIDDEN OAKS ELEMENTARY"</f>
        <v>HIDDEN OAKS ELEMENTARY</v>
      </c>
      <c r="G2161" s="23"/>
      <c r="H2161" s="23"/>
      <c r="I2161" s="41">
        <v>280</v>
      </c>
      <c r="J2161" s="41">
        <v>407</v>
      </c>
      <c r="K2161" s="20"/>
      <c r="L2161" s="21"/>
      <c r="M2161" s="110">
        <f>IF(L2161="",I2161,(MIN(J2161,(L2161*1.6*J2161))))</f>
        <v>280</v>
      </c>
      <c r="N2161" s="111">
        <f>IF(M2161=0,0,(M2161/J2161))</f>
        <v>0.68796068796068799</v>
      </c>
    </row>
    <row r="2162" spans="2:14">
      <c r="B2162" s="72">
        <v>127681</v>
      </c>
      <c r="C2162" s="47" t="str">
        <f>"ORANGE"</f>
        <v>ORANGE</v>
      </c>
      <c r="D2162" s="123">
        <f>SUMIF(B$3:B$3844,B2162,M$3:M$3844)/(SUMIF(B$3:B$3844,B2162,J$3:J$3844))</f>
        <v>0.38094301842471529</v>
      </c>
      <c r="E2162" s="47">
        <v>36001</v>
      </c>
      <c r="F2162" s="48" t="str">
        <f>"HILLCREST ELEMENTARY"</f>
        <v>HILLCREST ELEMENTARY</v>
      </c>
      <c r="G2162" s="47"/>
      <c r="H2162" s="47"/>
      <c r="I2162" s="40">
        <v>157</v>
      </c>
      <c r="J2162" s="40">
        <v>432</v>
      </c>
      <c r="K2162" s="20"/>
      <c r="L2162" s="21"/>
      <c r="M2162" s="110">
        <f>IF(L2162="",I2162,(MIN(J2162,(L2162*1.6*J2162))))</f>
        <v>157</v>
      </c>
      <c r="N2162" s="111">
        <f>IF(M2162=0,0,(M2162/J2162))</f>
        <v>0.36342592592592593</v>
      </c>
    </row>
    <row r="2163" spans="2:14">
      <c r="B2163" s="73">
        <v>127681</v>
      </c>
      <c r="C2163" s="23" t="str">
        <f>"ORANGE"</f>
        <v>ORANGE</v>
      </c>
      <c r="D2163" s="123">
        <f>SUMIF(B$3:B$3844,B2163,M$3:M$3844)/(SUMIF(B$3:B$3844,B2163,J$3:J$3844))</f>
        <v>0.38094301842471529</v>
      </c>
      <c r="E2163" s="23">
        <v>204790</v>
      </c>
      <c r="F2163" s="46" t="str">
        <f>"HOSPITAL HOMEBOUND"</f>
        <v>HOSPITAL HOMEBOUND</v>
      </c>
      <c r="G2163" s="23"/>
      <c r="H2163" s="23"/>
      <c r="I2163" s="41">
        <v>79</v>
      </c>
      <c r="J2163" s="41">
        <v>220</v>
      </c>
      <c r="K2163" s="20"/>
      <c r="L2163" s="21"/>
      <c r="M2163" s="110">
        <f>IF(L2163="",I2163,(MIN(J2163,(L2163*1.6*J2163))))</f>
        <v>79</v>
      </c>
      <c r="N2163" s="111">
        <f>IF(M2163=0,0,(M2163/J2163))</f>
        <v>0.35909090909090907</v>
      </c>
    </row>
    <row r="2164" spans="2:14">
      <c r="B2164" s="72">
        <v>127681</v>
      </c>
      <c r="C2164" s="47" t="str">
        <f>"ORANGE"</f>
        <v>ORANGE</v>
      </c>
      <c r="D2164" s="123">
        <f>SUMIF(B$3:B$3844,B2164,M$3:M$3844)/(SUMIF(B$3:B$3844,B2164,J$3:J$3844))</f>
        <v>0.38094301842471529</v>
      </c>
      <c r="E2164" s="47">
        <v>35994</v>
      </c>
      <c r="F2164" s="48" t="str">
        <f>"HOWARD MIDDLE"</f>
        <v>HOWARD MIDDLE</v>
      </c>
      <c r="G2164" s="47"/>
      <c r="H2164" s="47"/>
      <c r="I2164" s="40">
        <v>627</v>
      </c>
      <c r="J2164" s="40">
        <v>1026</v>
      </c>
      <c r="K2164" s="20"/>
      <c r="L2164" s="21"/>
      <c r="M2164" s="110">
        <f>IF(L2164="",I2164,(MIN(J2164,(L2164*1.6*J2164))))</f>
        <v>627</v>
      </c>
      <c r="N2164" s="111">
        <f>IF(M2164=0,0,(M2164/J2164))</f>
        <v>0.61111111111111116</v>
      </c>
    </row>
    <row r="2165" spans="2:14">
      <c r="B2165" s="73">
        <v>127681</v>
      </c>
      <c r="C2165" s="23" t="str">
        <f>"ORANGE"</f>
        <v>ORANGE</v>
      </c>
      <c r="D2165" s="123">
        <f>SUMIF(B$3:B$3844,B2165,M$3:M$3844)/(SUMIF(B$3:B$3844,B2165,J$3:J$3844))</f>
        <v>0.38094301842471529</v>
      </c>
      <c r="E2165" s="23">
        <v>35891</v>
      </c>
      <c r="F2165" s="46" t="str">
        <f>"HUNGERFORD ELEMENTARY"</f>
        <v>HUNGERFORD ELEMENTARY</v>
      </c>
      <c r="G2165" s="23"/>
      <c r="H2165" s="23"/>
      <c r="I2165" s="41"/>
      <c r="J2165" s="41">
        <v>285</v>
      </c>
      <c r="K2165" s="20">
        <v>2014</v>
      </c>
      <c r="L2165" s="21">
        <v>0.71640000000000004</v>
      </c>
      <c r="M2165" s="110">
        <f>IF(L2165="",I2165,(MIN(J2165,(L2165*1.6*J2165))))</f>
        <v>285</v>
      </c>
      <c r="N2165" s="111">
        <f>IF(M2165=0,0,(M2165/J2165))</f>
        <v>1</v>
      </c>
    </row>
    <row r="2166" spans="2:14">
      <c r="B2166" s="72">
        <v>127681</v>
      </c>
      <c r="C2166" s="47" t="str">
        <f>"ORANGE"</f>
        <v>ORANGE</v>
      </c>
      <c r="D2166" s="123">
        <f>SUMIF(B$3:B$3844,B2166,M$3:M$3844)/(SUMIF(B$3:B$3844,B2166,J$3:J$3844))</f>
        <v>0.38094301842471529</v>
      </c>
      <c r="E2166" s="47">
        <v>36154</v>
      </c>
      <c r="F2166" s="48" t="str">
        <f>"HUNTERS CREEK ELEMENTARY"</f>
        <v>HUNTERS CREEK ELEMENTARY</v>
      </c>
      <c r="G2166" s="47"/>
      <c r="H2166" s="47"/>
      <c r="I2166" s="40">
        <v>446</v>
      </c>
      <c r="J2166" s="40">
        <v>888</v>
      </c>
      <c r="K2166" s="20"/>
      <c r="L2166" s="21"/>
      <c r="M2166" s="110">
        <f>IF(L2166="",I2166,(MIN(J2166,(L2166*1.6*J2166))))</f>
        <v>446</v>
      </c>
      <c r="N2166" s="111">
        <f>IF(M2166=0,0,(M2166/J2166))</f>
        <v>0.50225225225225223</v>
      </c>
    </row>
    <row r="2167" spans="2:14">
      <c r="B2167" s="73">
        <v>127681</v>
      </c>
      <c r="C2167" s="23" t="str">
        <f>"ORANGE"</f>
        <v>ORANGE</v>
      </c>
      <c r="D2167" s="123">
        <f>SUMIF(B$3:B$3844,B2167,M$3:M$3844)/(SUMIF(B$3:B$3844,B2167,J$3:J$3844))</f>
        <v>0.38094301842471529</v>
      </c>
      <c r="E2167" s="23">
        <v>36153</v>
      </c>
      <c r="F2167" s="46" t="str">
        <f>"HUNTERS CREEK MIDDLE"</f>
        <v>HUNTERS CREEK MIDDLE</v>
      </c>
      <c r="G2167" s="23"/>
      <c r="H2167" s="23"/>
      <c r="I2167" s="41">
        <v>582</v>
      </c>
      <c r="J2167" s="41">
        <v>1205</v>
      </c>
      <c r="K2167" s="20"/>
      <c r="L2167" s="21"/>
      <c r="M2167" s="110">
        <f>IF(L2167="",I2167,(MIN(J2167,(L2167*1.6*J2167))))</f>
        <v>582</v>
      </c>
      <c r="N2167" s="111">
        <f>IF(M2167=0,0,(M2167/J2167))</f>
        <v>0.48298755186721992</v>
      </c>
    </row>
    <row r="2168" spans="2:14">
      <c r="B2168" s="72">
        <v>127681</v>
      </c>
      <c r="C2168" s="47" t="str">
        <f>"ORANGE"</f>
        <v>ORANGE</v>
      </c>
      <c r="D2168" s="123">
        <f>SUMIF(B$3:B$3844,B2168,M$3:M$3844)/(SUMIF(B$3:B$3844,B2168,J$3:J$3844))</f>
        <v>0.38094301842471529</v>
      </c>
      <c r="E2168" s="47">
        <v>17000001</v>
      </c>
      <c r="F2168" s="48" t="str">
        <f>"INDEPENDENCE ELEMENTARY"</f>
        <v>INDEPENDENCE ELEMENTARY</v>
      </c>
      <c r="G2168" s="47"/>
      <c r="H2168" s="47"/>
      <c r="I2168" s="40">
        <v>233</v>
      </c>
      <c r="J2168" s="40">
        <v>785</v>
      </c>
      <c r="K2168" s="20"/>
      <c r="L2168" s="21"/>
      <c r="M2168" s="110">
        <f>IF(L2168="",I2168,(MIN(J2168,(L2168*1.6*J2168))))</f>
        <v>233</v>
      </c>
      <c r="N2168" s="111">
        <f>IF(M2168=0,0,(M2168/J2168))</f>
        <v>0.29681528662420381</v>
      </c>
    </row>
    <row r="2169" spans="2:14">
      <c r="B2169" s="73">
        <v>127681</v>
      </c>
      <c r="C2169" s="23" t="str">
        <f>"ORANGE"</f>
        <v>ORANGE</v>
      </c>
      <c r="D2169" s="123">
        <f>SUMIF(B$3:B$3844,B2169,M$3:M$3844)/(SUMIF(B$3:B$3844,B2169,J$3:J$3844))</f>
        <v>0.38094301842471529</v>
      </c>
      <c r="E2169" s="23">
        <v>16069057</v>
      </c>
      <c r="F2169" s="46" t="str">
        <f>"INNOVATIONS MIDDLE CHARTER"</f>
        <v>INNOVATIONS MIDDLE CHARTER</v>
      </c>
      <c r="G2169" s="23"/>
      <c r="H2169" s="23"/>
      <c r="I2169" s="41"/>
      <c r="J2169" s="41">
        <v>219</v>
      </c>
      <c r="K2169" s="20"/>
      <c r="L2169" s="21"/>
      <c r="M2169" s="110">
        <f>IF(L2169="",I2169,(MIN(J2169,(L2169*1.6*J2169))))</f>
        <v>0</v>
      </c>
      <c r="N2169" s="111">
        <f>IF(M2169=0,0,(M2169/J2169))</f>
        <v>0</v>
      </c>
    </row>
    <row r="2170" spans="2:14">
      <c r="B2170" s="72">
        <v>127681</v>
      </c>
      <c r="C2170" s="47" t="str">
        <f>"ORANGE"</f>
        <v>ORANGE</v>
      </c>
      <c r="D2170" s="123">
        <f>SUMIF(B$3:B$3844,B2170,M$3:M$3844)/(SUMIF(B$3:B$3844,B2170,J$3:J$3844))</f>
        <v>0.38094301842471529</v>
      </c>
      <c r="E2170" s="47">
        <v>36084</v>
      </c>
      <c r="F2170" s="48" t="str">
        <f>"IVEY LANE ELEMENTARY"</f>
        <v>IVEY LANE ELEMENTARY</v>
      </c>
      <c r="G2170" s="47"/>
      <c r="H2170" s="47"/>
      <c r="I2170" s="40"/>
      <c r="J2170" s="40">
        <v>337</v>
      </c>
      <c r="K2170" s="20">
        <v>2014</v>
      </c>
      <c r="L2170" s="21">
        <v>0.71640000000000004</v>
      </c>
      <c r="M2170" s="110">
        <f>IF(L2170="",I2170,(MIN(J2170,(L2170*1.6*J2170))))</f>
        <v>337</v>
      </c>
      <c r="N2170" s="111">
        <f>IF(M2170=0,0,(M2170/J2170))</f>
        <v>1</v>
      </c>
    </row>
    <row r="2171" spans="2:14">
      <c r="B2171" s="73">
        <v>127681</v>
      </c>
      <c r="C2171" s="23" t="str">
        <f>"ORANGE"</f>
        <v>ORANGE</v>
      </c>
      <c r="D2171" s="123">
        <f>SUMIF(B$3:B$3844,B2171,M$3:M$3844)/(SUMIF(B$3:B$3844,B2171,J$3:J$3844))</f>
        <v>0.38094301842471529</v>
      </c>
      <c r="E2171" s="23">
        <v>36155</v>
      </c>
      <c r="F2171" s="46" t="str">
        <f>"JOHN YOUNG ELEMENTARY"</f>
        <v>JOHN YOUNG ELEMENTARY</v>
      </c>
      <c r="G2171" s="23"/>
      <c r="H2171" s="23"/>
      <c r="I2171" s="41">
        <v>529</v>
      </c>
      <c r="J2171" s="41">
        <v>734</v>
      </c>
      <c r="K2171" s="20"/>
      <c r="L2171" s="21"/>
      <c r="M2171" s="110">
        <f>IF(L2171="",I2171,(MIN(J2171,(L2171*1.6*J2171))))</f>
        <v>529</v>
      </c>
      <c r="N2171" s="111">
        <f>IF(M2171=0,0,(M2171/J2171))</f>
        <v>0.72070844686648505</v>
      </c>
    </row>
    <row r="2172" spans="2:14">
      <c r="B2172" s="72">
        <v>127681</v>
      </c>
      <c r="C2172" s="47" t="str">
        <f>"ORANGE"</f>
        <v>ORANGE</v>
      </c>
      <c r="D2172" s="123">
        <f>SUMIF(B$3:B$3844,B2172,M$3:M$3844)/(SUMIF(B$3:B$3844,B2172,J$3:J$3844))</f>
        <v>0.38094301842471529</v>
      </c>
      <c r="E2172" s="47">
        <v>36020</v>
      </c>
      <c r="F2172" s="48" t="str">
        <f>"JONES HIGH"</f>
        <v>JONES HIGH</v>
      </c>
      <c r="G2172" s="47"/>
      <c r="H2172" s="47"/>
      <c r="I2172" s="40"/>
      <c r="J2172" s="40">
        <v>1191</v>
      </c>
      <c r="K2172" s="20"/>
      <c r="L2172" s="21"/>
      <c r="M2172" s="110">
        <f>IF(L2172="",I2172,(MIN(J2172,(L2172*1.6*J2172))))</f>
        <v>0</v>
      </c>
      <c r="N2172" s="111">
        <f>IF(M2172=0,0,(M2172/J2172))</f>
        <v>0</v>
      </c>
    </row>
    <row r="2173" spans="2:14">
      <c r="B2173" s="73">
        <v>127681</v>
      </c>
      <c r="C2173" s="23" t="str">
        <f>"ORANGE"</f>
        <v>ORANGE</v>
      </c>
      <c r="D2173" s="123">
        <f>SUMIF(B$3:B$3844,B2173,M$3:M$3844)/(SUMIF(B$3:B$3844,B2173,J$3:J$3844))</f>
        <v>0.38094301842471529</v>
      </c>
      <c r="E2173" s="23">
        <v>36076</v>
      </c>
      <c r="F2173" s="46" t="str">
        <f>"JUDSON B WALKER MIDDLE"</f>
        <v>JUDSON B WALKER MIDDLE</v>
      </c>
      <c r="G2173" s="23"/>
      <c r="H2173" s="23"/>
      <c r="I2173" s="41"/>
      <c r="J2173" s="41">
        <v>999</v>
      </c>
      <c r="K2173" s="20"/>
      <c r="L2173" s="21"/>
      <c r="M2173" s="110">
        <f>IF(L2173="",I2173,(MIN(J2173,(L2173*1.6*J2173))))</f>
        <v>0</v>
      </c>
      <c r="N2173" s="111">
        <f>IF(M2173=0,0,(M2173/J2173))</f>
        <v>0</v>
      </c>
    </row>
    <row r="2174" spans="2:14">
      <c r="B2174" s="72">
        <v>127681</v>
      </c>
      <c r="C2174" s="47" t="str">
        <f>"ORANGE"</f>
        <v>ORANGE</v>
      </c>
      <c r="D2174" s="123">
        <f>SUMIF(B$3:B$3844,B2174,M$3:M$3844)/(SUMIF(B$3:B$3844,B2174,J$3:J$3844))</f>
        <v>0.38094301842471529</v>
      </c>
      <c r="E2174" s="47">
        <v>36029</v>
      </c>
      <c r="F2174" s="48" t="str">
        <f>"KALEY ELEMENTARY"</f>
        <v>KALEY ELEMENTARY</v>
      </c>
      <c r="G2174" s="47"/>
      <c r="H2174" s="47"/>
      <c r="I2174" s="40">
        <v>178</v>
      </c>
      <c r="J2174" s="40">
        <v>220</v>
      </c>
      <c r="K2174" s="20"/>
      <c r="L2174" s="21"/>
      <c r="M2174" s="110">
        <f>IF(L2174="",I2174,(MIN(J2174,(L2174*1.6*J2174))))</f>
        <v>178</v>
      </c>
      <c r="N2174" s="111">
        <f>IF(M2174=0,0,(M2174/J2174))</f>
        <v>0.80909090909090908</v>
      </c>
    </row>
    <row r="2175" spans="2:14">
      <c r="B2175" s="73">
        <v>127681</v>
      </c>
      <c r="C2175" s="23" t="str">
        <f>"ORANGE"</f>
        <v>ORANGE</v>
      </c>
      <c r="D2175" s="123">
        <f>SUMIF(B$3:B$3844,B2175,M$3:M$3844)/(SUMIF(B$3:B$3844,B2175,J$3:J$3844))</f>
        <v>0.38094301842471529</v>
      </c>
      <c r="E2175" s="23">
        <v>16055547</v>
      </c>
      <c r="F2175" s="46" t="str">
        <f>"KEENES CROSSING ELEMENTARY"</f>
        <v>KEENES CROSSING ELEMENTARY</v>
      </c>
      <c r="G2175" s="23"/>
      <c r="H2175" s="23"/>
      <c r="I2175" s="41">
        <v>235</v>
      </c>
      <c r="J2175" s="41">
        <v>893</v>
      </c>
      <c r="K2175" s="20"/>
      <c r="L2175" s="21"/>
      <c r="M2175" s="110">
        <f>IF(L2175="",I2175,(MIN(J2175,(L2175*1.6*J2175))))</f>
        <v>235</v>
      </c>
      <c r="N2175" s="111">
        <f>IF(M2175=0,0,(M2175/J2175))</f>
        <v>0.26315789473684209</v>
      </c>
    </row>
    <row r="2176" spans="2:14">
      <c r="B2176" s="72">
        <v>127681</v>
      </c>
      <c r="C2176" s="47" t="str">
        <f>"ORANGE"</f>
        <v>ORANGE</v>
      </c>
      <c r="D2176" s="123">
        <f>SUMIF(B$3:B$3844,B2176,M$3:M$3844)/(SUMIF(B$3:B$3844,B2176,J$3:J$3844))</f>
        <v>0.38094301842471529</v>
      </c>
      <c r="E2176" s="47">
        <v>16072870</v>
      </c>
      <c r="F2176" s="48" t="str">
        <f>"KIDS COMMUNITY COLLEGE CHARTER"</f>
        <v>KIDS COMMUNITY COLLEGE CHARTER</v>
      </c>
      <c r="G2176" s="47"/>
      <c r="H2176" s="47"/>
      <c r="I2176" s="40">
        <v>89</v>
      </c>
      <c r="J2176" s="40">
        <v>241</v>
      </c>
      <c r="K2176" s="20"/>
      <c r="L2176" s="21"/>
      <c r="M2176" s="110">
        <f>IF(L2176="",I2176,(MIN(J2176,(L2176*1.6*J2176))))</f>
        <v>89</v>
      </c>
      <c r="N2176" s="111">
        <f>IF(M2176=0,0,(M2176/J2176))</f>
        <v>0.36929460580912865</v>
      </c>
    </row>
    <row r="2177" spans="2:14">
      <c r="B2177" s="73">
        <v>127681</v>
      </c>
      <c r="C2177" s="23" t="str">
        <f>"ORANGE"</f>
        <v>ORANGE</v>
      </c>
      <c r="D2177" s="123">
        <f>SUMIF(B$3:B$3844,B2177,M$3:M$3844)/(SUMIF(B$3:B$3844,B2177,J$3:J$3844))</f>
        <v>0.38094301842471529</v>
      </c>
      <c r="E2177" s="23">
        <v>35964</v>
      </c>
      <c r="F2177" s="46" t="str">
        <f>"KILLARNEY ELEMENTARY"</f>
        <v>KILLARNEY ELEMENTARY</v>
      </c>
      <c r="G2177" s="23"/>
      <c r="H2177" s="23"/>
      <c r="I2177" s="41"/>
      <c r="J2177" s="41">
        <v>419</v>
      </c>
      <c r="K2177" s="20"/>
      <c r="L2177" s="21"/>
      <c r="M2177" s="110">
        <f>IF(L2177="",I2177,(MIN(J2177,(L2177*1.6*J2177))))</f>
        <v>0</v>
      </c>
      <c r="N2177" s="111">
        <f>IF(M2177=0,0,(M2177/J2177))</f>
        <v>0</v>
      </c>
    </row>
    <row r="2178" spans="2:14">
      <c r="B2178" s="72">
        <v>127681</v>
      </c>
      <c r="C2178" s="47" t="str">
        <f>"ORANGE"</f>
        <v>ORANGE</v>
      </c>
      <c r="D2178" s="123">
        <f>SUMIF(B$3:B$3844,B2178,M$3:M$3844)/(SUMIF(B$3:B$3844,B2178,J$3:J$3844))</f>
        <v>0.38094301842471529</v>
      </c>
      <c r="E2178" s="47">
        <v>36028</v>
      </c>
      <c r="F2178" s="48" t="str">
        <f>"LAKE COMO ELEMENTARY"</f>
        <v>LAKE COMO ELEMENTARY</v>
      </c>
      <c r="G2178" s="47"/>
      <c r="H2178" s="47"/>
      <c r="I2178" s="40">
        <v>181</v>
      </c>
      <c r="J2178" s="40">
        <v>236</v>
      </c>
      <c r="K2178" s="20"/>
      <c r="L2178" s="21"/>
      <c r="M2178" s="110">
        <f>IF(L2178="",I2178,(MIN(J2178,(L2178*1.6*J2178))))</f>
        <v>181</v>
      </c>
      <c r="N2178" s="111">
        <f>IF(M2178=0,0,(M2178/J2178))</f>
        <v>0.76694915254237284</v>
      </c>
    </row>
    <row r="2179" spans="2:14">
      <c r="B2179" s="73">
        <v>127681</v>
      </c>
      <c r="C2179" s="23" t="str">
        <f>"ORANGE"</f>
        <v>ORANGE</v>
      </c>
      <c r="D2179" s="123">
        <f>SUMIF(B$3:B$3844,B2179,M$3:M$3844)/(SUMIF(B$3:B$3844,B2179,J$3:J$3844))</f>
        <v>0.38094301842471529</v>
      </c>
      <c r="E2179" s="23">
        <v>178443</v>
      </c>
      <c r="F2179" s="46" t="str">
        <f>"LAKE EOLA CHARTER"</f>
        <v>LAKE EOLA CHARTER</v>
      </c>
      <c r="G2179" s="23"/>
      <c r="H2179" s="23"/>
      <c r="I2179" s="41"/>
      <c r="J2179" s="41">
        <v>219</v>
      </c>
      <c r="K2179" s="20"/>
      <c r="L2179" s="21"/>
      <c r="M2179" s="110">
        <f>IF(L2179="",I2179,(MIN(J2179,(L2179*1.6*J2179))))</f>
        <v>0</v>
      </c>
      <c r="N2179" s="111">
        <f>IF(M2179=0,0,(M2179/J2179))</f>
        <v>0</v>
      </c>
    </row>
    <row r="2180" spans="2:14">
      <c r="B2180" s="72">
        <v>127681</v>
      </c>
      <c r="C2180" s="47" t="str">
        <f>"ORANGE"</f>
        <v>ORANGE</v>
      </c>
      <c r="D2180" s="123">
        <f>SUMIF(B$3:B$3844,B2180,M$3:M$3844)/(SUMIF(B$3:B$3844,B2180,J$3:J$3844))</f>
        <v>0.38094301842471529</v>
      </c>
      <c r="E2180" s="47">
        <v>204033</v>
      </c>
      <c r="F2180" s="48" t="str">
        <f>"LAKE GEM ELEMENTARY"</f>
        <v>LAKE GEM ELEMENTARY</v>
      </c>
      <c r="G2180" s="47"/>
      <c r="H2180" s="47"/>
      <c r="I2180" s="40"/>
      <c r="J2180" s="40">
        <v>833</v>
      </c>
      <c r="K2180" s="20"/>
      <c r="L2180" s="21"/>
      <c r="M2180" s="110">
        <f>IF(L2180="",I2180,(MIN(J2180,(L2180*1.6*J2180))))</f>
        <v>0</v>
      </c>
      <c r="N2180" s="111">
        <f>IF(M2180=0,0,(M2180/J2180))</f>
        <v>0</v>
      </c>
    </row>
    <row r="2181" spans="2:14">
      <c r="B2181" s="73">
        <v>127681</v>
      </c>
      <c r="C2181" s="23" t="str">
        <f>"ORANGE"</f>
        <v>ORANGE</v>
      </c>
      <c r="D2181" s="123">
        <f>SUMIF(B$3:B$3844,B2181,M$3:M$3844)/(SUMIF(B$3:B$3844,B2181,J$3:J$3844))</f>
        <v>0.38094301842471529</v>
      </c>
      <c r="E2181" s="23">
        <v>206027</v>
      </c>
      <c r="F2181" s="46" t="str">
        <f>"LAKE GEORGE ELEMENTARY"</f>
        <v>LAKE GEORGE ELEMENTARY</v>
      </c>
      <c r="G2181" s="23"/>
      <c r="H2181" s="23"/>
      <c r="I2181" s="41">
        <v>485</v>
      </c>
      <c r="J2181" s="41">
        <v>617</v>
      </c>
      <c r="K2181" s="20"/>
      <c r="L2181" s="21"/>
      <c r="M2181" s="110">
        <f>IF(L2181="",I2181,(MIN(J2181,(L2181*1.6*J2181))))</f>
        <v>485</v>
      </c>
      <c r="N2181" s="111">
        <f>IF(M2181=0,0,(M2181/J2181))</f>
        <v>0.78606158833063211</v>
      </c>
    </row>
    <row r="2182" spans="2:14">
      <c r="B2182" s="72">
        <v>127681</v>
      </c>
      <c r="C2182" s="47" t="str">
        <f>"ORANGE"</f>
        <v>ORANGE</v>
      </c>
      <c r="D2182" s="123">
        <f>SUMIF(B$3:B$3844,B2182,M$3:M$3844)/(SUMIF(B$3:B$3844,B2182,J$3:J$3844))</f>
        <v>0.38094301842471529</v>
      </c>
      <c r="E2182" s="47">
        <v>16055546</v>
      </c>
      <c r="F2182" s="48" t="str">
        <f>"LAKE NONA HIGH"</f>
        <v>LAKE NONA HIGH</v>
      </c>
      <c r="G2182" s="47"/>
      <c r="H2182" s="47"/>
      <c r="I2182" s="40">
        <v>1070</v>
      </c>
      <c r="J2182" s="40">
        <v>2527</v>
      </c>
      <c r="K2182" s="20"/>
      <c r="L2182" s="21"/>
      <c r="M2182" s="110">
        <f>IF(L2182="",I2182,(MIN(J2182,(L2182*1.6*J2182))))</f>
        <v>1070</v>
      </c>
      <c r="N2182" s="111">
        <f>IF(M2182=0,0,(M2182/J2182))</f>
        <v>0.42342698852394145</v>
      </c>
    </row>
    <row r="2183" spans="2:14">
      <c r="B2183" s="73">
        <v>127681</v>
      </c>
      <c r="C2183" s="23" t="str">
        <f>"ORANGE"</f>
        <v>ORANGE</v>
      </c>
      <c r="D2183" s="123">
        <f>SUMIF(B$3:B$3844,B2183,M$3:M$3844)/(SUMIF(B$3:B$3844,B2183,J$3:J$3844))</f>
        <v>0.38094301842471529</v>
      </c>
      <c r="E2183" s="23">
        <v>16065990</v>
      </c>
      <c r="F2183" s="46" t="str">
        <f>"LAKE NONA MIDDLE"</f>
        <v>LAKE NONA MIDDLE</v>
      </c>
      <c r="G2183" s="23"/>
      <c r="H2183" s="23"/>
      <c r="I2183" s="41">
        <v>811</v>
      </c>
      <c r="J2183" s="41">
        <v>1801</v>
      </c>
      <c r="K2183" s="20"/>
      <c r="L2183" s="21"/>
      <c r="M2183" s="110">
        <f>IF(L2183="",I2183,(MIN(J2183,(L2183*1.6*J2183))))</f>
        <v>811</v>
      </c>
      <c r="N2183" s="111">
        <f>IF(M2183=0,0,(M2183/J2183))</f>
        <v>0.45030538589672403</v>
      </c>
    </row>
    <row r="2184" spans="2:14">
      <c r="B2184" s="72">
        <v>127681</v>
      </c>
      <c r="C2184" s="47" t="str">
        <f>"ORANGE"</f>
        <v>ORANGE</v>
      </c>
      <c r="D2184" s="123">
        <f>SUMIF(B$3:B$3844,B2184,M$3:M$3844)/(SUMIF(B$3:B$3844,B2184,J$3:J$3844))</f>
        <v>0.38094301842471529</v>
      </c>
      <c r="E2184" s="47">
        <v>36013</v>
      </c>
      <c r="F2184" s="48" t="str">
        <f>"LAKE SILVER ELEMENTARY"</f>
        <v>LAKE SILVER ELEMENTARY</v>
      </c>
      <c r="G2184" s="47"/>
      <c r="H2184" s="47"/>
      <c r="I2184" s="40">
        <v>442</v>
      </c>
      <c r="J2184" s="40">
        <v>680</v>
      </c>
      <c r="K2184" s="20"/>
      <c r="L2184" s="21"/>
      <c r="M2184" s="110">
        <f>IF(L2184="",I2184,(MIN(J2184,(L2184*1.6*J2184))))</f>
        <v>442</v>
      </c>
      <c r="N2184" s="111">
        <f>IF(M2184=0,0,(M2184/J2184))</f>
        <v>0.65</v>
      </c>
    </row>
    <row r="2185" spans="2:14">
      <c r="B2185" s="73">
        <v>127681</v>
      </c>
      <c r="C2185" s="23" t="str">
        <f>"ORANGE"</f>
        <v>ORANGE</v>
      </c>
      <c r="D2185" s="123">
        <f>SUMIF(B$3:B$3844,B2185,M$3:M$3844)/(SUMIF(B$3:B$3844,B2185,J$3:J$3844))</f>
        <v>0.38094301842471529</v>
      </c>
      <c r="E2185" s="23">
        <v>35888</v>
      </c>
      <c r="F2185" s="46" t="str">
        <f>"LAKE SYBELIA ELEMENTARY"</f>
        <v>LAKE SYBELIA ELEMENTARY</v>
      </c>
      <c r="G2185" s="23"/>
      <c r="H2185" s="23"/>
      <c r="I2185" s="41">
        <v>351</v>
      </c>
      <c r="J2185" s="41">
        <v>621</v>
      </c>
      <c r="K2185" s="20"/>
      <c r="L2185" s="21"/>
      <c r="M2185" s="110">
        <f>IF(L2185="",I2185,(MIN(J2185,(L2185*1.6*J2185))))</f>
        <v>351</v>
      </c>
      <c r="N2185" s="111">
        <f>IF(M2185=0,0,(M2185/J2185))</f>
        <v>0.56521739130434778</v>
      </c>
    </row>
    <row r="2186" spans="2:14">
      <c r="B2186" s="72">
        <v>127681</v>
      </c>
      <c r="C2186" s="47" t="str">
        <f>"ORANGE"</f>
        <v>ORANGE</v>
      </c>
      <c r="D2186" s="123">
        <f>SUMIF(B$3:B$3844,B2186,M$3:M$3844)/(SUMIF(B$3:B$3844,B2186,J$3:J$3844))</f>
        <v>0.38094301842471529</v>
      </c>
      <c r="E2186" s="47">
        <v>36082</v>
      </c>
      <c r="F2186" s="48" t="str">
        <f>"LAKE WESTON ELEMENTARY"</f>
        <v>LAKE WESTON ELEMENTARY</v>
      </c>
      <c r="G2186" s="47"/>
      <c r="H2186" s="47"/>
      <c r="I2186" s="40"/>
      <c r="J2186" s="40">
        <v>579</v>
      </c>
      <c r="K2186" s="20">
        <v>2014</v>
      </c>
      <c r="L2186" s="21">
        <v>0.71640000000000004</v>
      </c>
      <c r="M2186" s="110">
        <f>IF(L2186="",I2186,(MIN(J2186,(L2186*1.6*J2186))))</f>
        <v>579</v>
      </c>
      <c r="N2186" s="111">
        <f>IF(M2186=0,0,(M2186/J2186))</f>
        <v>1</v>
      </c>
    </row>
    <row r="2187" spans="2:14">
      <c r="B2187" s="73">
        <v>127681</v>
      </c>
      <c r="C2187" s="23" t="str">
        <f>"ORANGE"</f>
        <v>ORANGE</v>
      </c>
      <c r="D2187" s="123">
        <f>SUMIF(B$3:B$3844,B2187,M$3:M$3844)/(SUMIF(B$3:B$3844,B2187,J$3:J$3844))</f>
        <v>0.38094301842471529</v>
      </c>
      <c r="E2187" s="23">
        <v>38797</v>
      </c>
      <c r="F2187" s="46" t="str">
        <f>"LAKE WHITNEY ELEMENTARY"</f>
        <v>LAKE WHITNEY ELEMENTARY</v>
      </c>
      <c r="G2187" s="23"/>
      <c r="H2187" s="23"/>
      <c r="I2187" s="41">
        <v>95</v>
      </c>
      <c r="J2187" s="41">
        <v>557</v>
      </c>
      <c r="K2187" s="20"/>
      <c r="L2187" s="21"/>
      <c r="M2187" s="110">
        <f>IF(L2187="",I2187,(MIN(J2187,(L2187*1.6*J2187))))</f>
        <v>95</v>
      </c>
      <c r="N2187" s="111">
        <f>IF(M2187=0,0,(M2187/J2187))</f>
        <v>0.17055655296229802</v>
      </c>
    </row>
    <row r="2188" spans="2:14">
      <c r="B2188" s="72">
        <v>127681</v>
      </c>
      <c r="C2188" s="47" t="str">
        <f>"ORANGE"</f>
        <v>ORANGE</v>
      </c>
      <c r="D2188" s="123">
        <f>SUMIF(B$3:B$3844,B2188,M$3:M$3844)/(SUMIF(B$3:B$3844,B2188,J$3:J$3844))</f>
        <v>0.38094301842471529</v>
      </c>
      <c r="E2188" s="47">
        <v>35972</v>
      </c>
      <c r="F2188" s="48" t="str">
        <f>"LAKEMONT ELEMENTARY"</f>
        <v>LAKEMONT ELEMENTARY</v>
      </c>
      <c r="G2188" s="47"/>
      <c r="H2188" s="47"/>
      <c r="I2188" s="40">
        <v>347</v>
      </c>
      <c r="J2188" s="40">
        <v>639</v>
      </c>
      <c r="K2188" s="20"/>
      <c r="L2188" s="21"/>
      <c r="M2188" s="110">
        <f>IF(L2188="",I2188,(MIN(J2188,(L2188*1.6*J2188))))</f>
        <v>347</v>
      </c>
      <c r="N2188" s="111">
        <f>IF(M2188=0,0,(M2188/J2188))</f>
        <v>0.54303599374021905</v>
      </c>
    </row>
    <row r="2189" spans="2:14">
      <c r="B2189" s="73">
        <v>127681</v>
      </c>
      <c r="C2189" s="23" t="str">
        <f>"ORANGE"</f>
        <v>ORANGE</v>
      </c>
      <c r="D2189" s="123">
        <f>SUMIF(B$3:B$3844,B2189,M$3:M$3844)/(SUMIF(B$3:B$3844,B2189,J$3:J$3844))</f>
        <v>0.38094301842471529</v>
      </c>
      <c r="E2189" s="23">
        <v>38787</v>
      </c>
      <c r="F2189" s="46" t="str">
        <f>"LAKEVIEW MIDDLE"</f>
        <v>LAKEVIEW MIDDLE</v>
      </c>
      <c r="G2189" s="23"/>
      <c r="H2189" s="23"/>
      <c r="I2189" s="41">
        <v>657</v>
      </c>
      <c r="J2189" s="41">
        <v>1033</v>
      </c>
      <c r="K2189" s="20"/>
      <c r="L2189" s="21"/>
      <c r="M2189" s="110">
        <f>IF(L2189="",I2189,(MIN(J2189,(L2189*1.6*J2189))))</f>
        <v>657</v>
      </c>
      <c r="N2189" s="111">
        <f>IF(M2189=0,0,(M2189/J2189))</f>
        <v>0.63601161665053241</v>
      </c>
    </row>
    <row r="2190" spans="2:14">
      <c r="B2190" s="72">
        <v>127681</v>
      </c>
      <c r="C2190" s="47" t="str">
        <f>"ORANGE"</f>
        <v>ORANGE</v>
      </c>
      <c r="D2190" s="123">
        <f>SUMIF(B$3:B$3844,B2190,M$3:M$3844)/(SUMIF(B$3:B$3844,B2190,J$3:J$3844))</f>
        <v>0.38094301842471529</v>
      </c>
      <c r="E2190" s="47">
        <v>204035</v>
      </c>
      <c r="F2190" s="48" t="str">
        <f>"LAKEVILLE ELEMENTARY"</f>
        <v>LAKEVILLE ELEMENTARY</v>
      </c>
      <c r="G2190" s="47"/>
      <c r="H2190" s="47"/>
      <c r="I2190" s="40">
        <v>656</v>
      </c>
      <c r="J2190" s="40">
        <v>847</v>
      </c>
      <c r="K2190" s="20"/>
      <c r="L2190" s="21"/>
      <c r="M2190" s="110">
        <f>IF(L2190="",I2190,(MIN(J2190,(L2190*1.6*J2190))))</f>
        <v>656</v>
      </c>
      <c r="N2190" s="111">
        <f>IF(M2190=0,0,(M2190/J2190))</f>
        <v>0.77449822904368359</v>
      </c>
    </row>
    <row r="2191" spans="2:14">
      <c r="B2191" s="73">
        <v>127681</v>
      </c>
      <c r="C2191" s="23" t="str">
        <f>"ORANGE"</f>
        <v>ORANGE</v>
      </c>
      <c r="D2191" s="123">
        <f>SUMIF(B$3:B$3844,B2191,M$3:M$3844)/(SUMIF(B$3:B$3844,B2191,J$3:J$3844))</f>
        <v>0.38094301842471529</v>
      </c>
      <c r="E2191" s="23">
        <v>36077</v>
      </c>
      <c r="F2191" s="46" t="str">
        <f>"LANCASTER ELEMENTARY"</f>
        <v>LANCASTER ELEMENTARY</v>
      </c>
      <c r="G2191" s="23"/>
      <c r="H2191" s="23"/>
      <c r="I2191" s="41"/>
      <c r="J2191" s="41">
        <v>905</v>
      </c>
      <c r="K2191" s="20"/>
      <c r="L2191" s="21"/>
      <c r="M2191" s="110">
        <f>IF(L2191="",I2191,(MIN(J2191,(L2191*1.6*J2191))))</f>
        <v>0</v>
      </c>
      <c r="N2191" s="111">
        <f>IF(M2191=0,0,(M2191/J2191))</f>
        <v>0</v>
      </c>
    </row>
    <row r="2192" spans="2:14">
      <c r="B2192" s="72">
        <v>127681</v>
      </c>
      <c r="C2192" s="47" t="str">
        <f>"ORANGE"</f>
        <v>ORANGE</v>
      </c>
      <c r="D2192" s="123">
        <f>SUMIF(B$3:B$3844,B2192,M$3:M$3844)/(SUMIF(B$3:B$3844,B2192,J$3:J$3844))</f>
        <v>0.38094301842471529</v>
      </c>
      <c r="E2192" s="47">
        <v>225523</v>
      </c>
      <c r="F2192" s="48" t="str">
        <f>"LAWTON CHILES ELEMENTARY"</f>
        <v>LAWTON CHILES ELEMENTARY</v>
      </c>
      <c r="G2192" s="47"/>
      <c r="H2192" s="47"/>
      <c r="I2192" s="40"/>
      <c r="J2192" s="40">
        <v>648</v>
      </c>
      <c r="K2192" s="20"/>
      <c r="L2192" s="21"/>
      <c r="M2192" s="110">
        <f>IF(L2192="",I2192,(MIN(J2192,(L2192*1.6*J2192))))</f>
        <v>0</v>
      </c>
      <c r="N2192" s="111">
        <f>IF(M2192=0,0,(M2192/J2192))</f>
        <v>0</v>
      </c>
    </row>
    <row r="2193" spans="2:14">
      <c r="B2193" s="73">
        <v>127681</v>
      </c>
      <c r="C2193" s="23" t="str">
        <f>"ORANGE"</f>
        <v>ORANGE</v>
      </c>
      <c r="D2193" s="123">
        <f>SUMIF(B$3:B$3844,B2193,M$3:M$3844)/(SUMIF(B$3:B$3844,B2193,J$3:J$3844))</f>
        <v>0.38094301842471529</v>
      </c>
      <c r="E2193" s="23">
        <v>16033385</v>
      </c>
      <c r="F2193" s="46" t="str">
        <f>"LEGACY MIDDLE"</f>
        <v>LEGACY MIDDLE</v>
      </c>
      <c r="G2193" s="23"/>
      <c r="H2193" s="23"/>
      <c r="I2193" s="41">
        <v>639</v>
      </c>
      <c r="J2193" s="41">
        <v>932</v>
      </c>
      <c r="K2193" s="20"/>
      <c r="L2193" s="21"/>
      <c r="M2193" s="110">
        <f>IF(L2193="",I2193,(MIN(J2193,(L2193*1.6*J2193))))</f>
        <v>639</v>
      </c>
      <c r="N2193" s="111">
        <f>IF(M2193=0,0,(M2193/J2193))</f>
        <v>0.68562231759656656</v>
      </c>
    </row>
    <row r="2194" spans="2:14">
      <c r="B2194" s="72">
        <v>127681</v>
      </c>
      <c r="C2194" s="47" t="str">
        <f>"ORANGE"</f>
        <v>ORANGE</v>
      </c>
      <c r="D2194" s="123">
        <f>SUMIF(B$3:B$3844,B2194,M$3:M$3844)/(SUMIF(B$3:B$3844,B2194,J$3:J$3844))</f>
        <v>0.38094301842471529</v>
      </c>
      <c r="E2194" s="47">
        <v>36142</v>
      </c>
      <c r="F2194" s="48" t="str">
        <f>"LIBERTY MIDDLE"</f>
        <v>LIBERTY MIDDLE</v>
      </c>
      <c r="G2194" s="47"/>
      <c r="H2194" s="47"/>
      <c r="I2194" s="40"/>
      <c r="J2194" s="40">
        <v>1038</v>
      </c>
      <c r="K2194" s="20"/>
      <c r="L2194" s="21"/>
      <c r="M2194" s="110">
        <f>IF(L2194="",I2194,(MIN(J2194,(L2194*1.6*J2194))))</f>
        <v>0</v>
      </c>
      <c r="N2194" s="111">
        <f>IF(M2194=0,0,(M2194/J2194))</f>
        <v>0</v>
      </c>
    </row>
    <row r="2195" spans="2:14">
      <c r="B2195" s="73">
        <v>127681</v>
      </c>
      <c r="C2195" s="23" t="str">
        <f>"ORANGE"</f>
        <v>ORANGE</v>
      </c>
      <c r="D2195" s="123">
        <f>SUMIF(B$3:B$3844,B2195,M$3:M$3844)/(SUMIF(B$3:B$3844,B2195,J$3:J$3844))</f>
        <v>0.38094301842471529</v>
      </c>
      <c r="E2195" s="23">
        <v>36132</v>
      </c>
      <c r="F2195" s="46" t="str">
        <f>"LITTLE RIVER ELEMENTARY"</f>
        <v>LITTLE RIVER ELEMENTARY</v>
      </c>
      <c r="G2195" s="23"/>
      <c r="H2195" s="23"/>
      <c r="I2195" s="41"/>
      <c r="J2195" s="41">
        <v>452</v>
      </c>
      <c r="K2195" s="20"/>
      <c r="L2195" s="21"/>
      <c r="M2195" s="110">
        <f>IF(L2195="",I2195,(MIN(J2195,(L2195*1.6*J2195))))</f>
        <v>0</v>
      </c>
      <c r="N2195" s="111">
        <f>IF(M2195=0,0,(M2195/J2195))</f>
        <v>0</v>
      </c>
    </row>
    <row r="2196" spans="2:14">
      <c r="B2196" s="72">
        <v>127681</v>
      </c>
      <c r="C2196" s="47" t="str">
        <f>"ORANGE"</f>
        <v>ORANGE</v>
      </c>
      <c r="D2196" s="123">
        <f>SUMIF(B$3:B$3844,B2196,M$3:M$3844)/(SUMIF(B$3:B$3844,B2196,J$3:J$3844))</f>
        <v>0.38094301842471529</v>
      </c>
      <c r="E2196" s="47">
        <v>36080</v>
      </c>
      <c r="F2196" s="48" t="str">
        <f>"LOCKHART ELEMENTARY"</f>
        <v>LOCKHART ELEMENTARY</v>
      </c>
      <c r="G2196" s="47"/>
      <c r="H2196" s="47"/>
      <c r="I2196" s="40"/>
      <c r="J2196" s="40">
        <v>448</v>
      </c>
      <c r="K2196" s="20"/>
      <c r="L2196" s="21"/>
      <c r="M2196" s="110">
        <f>IF(L2196="",I2196,(MIN(J2196,(L2196*1.6*J2196))))</f>
        <v>0</v>
      </c>
      <c r="N2196" s="111">
        <f>IF(M2196=0,0,(M2196/J2196))</f>
        <v>0</v>
      </c>
    </row>
    <row r="2197" spans="2:14">
      <c r="B2197" s="73">
        <v>127681</v>
      </c>
      <c r="C2197" s="23" t="str">
        <f>"ORANGE"</f>
        <v>ORANGE</v>
      </c>
      <c r="D2197" s="123">
        <f>SUMIF(B$3:B$3844,B2197,M$3:M$3844)/(SUMIF(B$3:B$3844,B2197,J$3:J$3844))</f>
        <v>0.38094301842471529</v>
      </c>
      <c r="E2197" s="23">
        <v>36081</v>
      </c>
      <c r="F2197" s="46" t="str">
        <f>"LOCKHART MIDDLE"</f>
        <v>LOCKHART MIDDLE</v>
      </c>
      <c r="G2197" s="23"/>
      <c r="H2197" s="23"/>
      <c r="I2197" s="41"/>
      <c r="J2197" s="41">
        <v>776</v>
      </c>
      <c r="K2197" s="20"/>
      <c r="L2197" s="21"/>
      <c r="M2197" s="110">
        <f>IF(L2197="",I2197,(MIN(J2197,(L2197*1.6*J2197))))</f>
        <v>0</v>
      </c>
      <c r="N2197" s="111">
        <f>IF(M2197=0,0,(M2197/J2197))</f>
        <v>0</v>
      </c>
    </row>
    <row r="2198" spans="2:14">
      <c r="B2198" s="72">
        <v>127681</v>
      </c>
      <c r="C2198" s="47" t="str">
        <f>"ORANGE"</f>
        <v>ORANGE</v>
      </c>
      <c r="D2198" s="123">
        <f>SUMIF(B$3:B$3844,B2198,M$3:M$3844)/(SUMIF(B$3:B$3844,B2198,J$3:J$3844))</f>
        <v>0.38094301842471529</v>
      </c>
      <c r="E2198" s="47">
        <v>35788</v>
      </c>
      <c r="F2198" s="48" t="str">
        <f>"LOVELL ELEMENTARY"</f>
        <v>LOVELL ELEMENTARY</v>
      </c>
      <c r="G2198" s="47"/>
      <c r="H2198" s="47"/>
      <c r="I2198" s="40"/>
      <c r="J2198" s="40">
        <v>731</v>
      </c>
      <c r="K2198" s="20"/>
      <c r="L2198" s="21"/>
      <c r="M2198" s="110">
        <f>IF(L2198="",I2198,(MIN(J2198,(L2198*1.6*J2198))))</f>
        <v>0</v>
      </c>
      <c r="N2198" s="111">
        <f>IF(M2198=0,0,(M2198/J2198))</f>
        <v>0</v>
      </c>
    </row>
    <row r="2199" spans="2:14">
      <c r="B2199" s="73">
        <v>127681</v>
      </c>
      <c r="C2199" s="23" t="str">
        <f>"ORANGE"</f>
        <v>ORANGE</v>
      </c>
      <c r="D2199" s="123">
        <f>SUMIF(B$3:B$3844,B2199,M$3:M$3844)/(SUMIF(B$3:B$3844,B2199,J$3:J$3844))</f>
        <v>0.38094301842471529</v>
      </c>
      <c r="E2199" s="23">
        <v>36105</v>
      </c>
      <c r="F2199" s="46" t="s">
        <v>2177</v>
      </c>
      <c r="G2199" s="23"/>
      <c r="H2199" s="23"/>
      <c r="I2199" s="41"/>
      <c r="J2199" s="41">
        <v>139</v>
      </c>
      <c r="K2199" s="20"/>
      <c r="L2199" s="21"/>
      <c r="M2199" s="110">
        <f>IF(L2199="",I2199,(MIN(J2199,(L2199*1.6*J2199))))</f>
        <v>0</v>
      </c>
      <c r="N2199" s="111">
        <f>IF(M2199=0,0,(M2199/J2199))</f>
        <v>0</v>
      </c>
    </row>
    <row r="2200" spans="2:14">
      <c r="B2200" s="72">
        <v>127681</v>
      </c>
      <c r="C2200" s="47" t="str">
        <f>"ORANGE"</f>
        <v>ORANGE</v>
      </c>
      <c r="D2200" s="123">
        <f>SUMIF(B$3:B$3844,B2200,M$3:M$3844)/(SUMIF(B$3:B$3844,B2200,J$3:J$3844))</f>
        <v>0.38094301842471529</v>
      </c>
      <c r="E2200" s="47">
        <v>35884</v>
      </c>
      <c r="F2200" s="48" t="str">
        <f>"MAITLAND MIDDLE"</f>
        <v>MAITLAND MIDDLE</v>
      </c>
      <c r="G2200" s="47"/>
      <c r="H2200" s="47"/>
      <c r="I2200" s="40">
        <v>390</v>
      </c>
      <c r="J2200" s="40">
        <v>931</v>
      </c>
      <c r="K2200" s="20"/>
      <c r="L2200" s="21"/>
      <c r="M2200" s="110">
        <f>IF(L2200="",I2200,(MIN(J2200,(L2200*1.6*J2200))))</f>
        <v>390</v>
      </c>
      <c r="N2200" s="111">
        <f>IF(M2200=0,0,(M2200/J2200))</f>
        <v>0.41890440386680988</v>
      </c>
    </row>
    <row r="2201" spans="2:14">
      <c r="B2201" s="73">
        <v>127681</v>
      </c>
      <c r="C2201" s="23" t="str">
        <f>"ORANGE"</f>
        <v>ORANGE</v>
      </c>
      <c r="D2201" s="123">
        <f>SUMIF(B$3:B$3844,B2201,M$3:M$3844)/(SUMIF(B$3:B$3844,B2201,J$3:J$3844))</f>
        <v>0.38094301842471529</v>
      </c>
      <c r="E2201" s="23">
        <v>36058</v>
      </c>
      <c r="F2201" s="46" t="str">
        <f>"MAYNARD EVANS HIGH"</f>
        <v>MAYNARD EVANS HIGH</v>
      </c>
      <c r="G2201" s="23"/>
      <c r="H2201" s="23"/>
      <c r="I2201" s="41"/>
      <c r="J2201" s="41">
        <v>2533</v>
      </c>
      <c r="K2201" s="20"/>
      <c r="L2201" s="21"/>
      <c r="M2201" s="110">
        <f>IF(L2201="",I2201,(MIN(J2201,(L2201*1.6*J2201))))</f>
        <v>0</v>
      </c>
      <c r="N2201" s="111">
        <f>IF(M2201=0,0,(M2201/J2201))</f>
        <v>0</v>
      </c>
    </row>
    <row r="2202" spans="2:14">
      <c r="B2202" s="72">
        <v>127681</v>
      </c>
      <c r="C2202" s="47" t="str">
        <f>"ORANGE"</f>
        <v>ORANGE</v>
      </c>
      <c r="D2202" s="123">
        <f>SUMIF(B$3:B$3844,B2202,M$3:M$3844)/(SUMIF(B$3:B$3844,B2202,J$3:J$3844))</f>
        <v>0.38094301842471529</v>
      </c>
      <c r="E2202" s="47">
        <v>36130</v>
      </c>
      <c r="F2202" s="48" t="str">
        <f>"MEADOW WOODS ELEMENTARY"</f>
        <v>MEADOW WOODS ELEMENTARY</v>
      </c>
      <c r="G2202" s="47"/>
      <c r="H2202" s="47"/>
      <c r="I2202" s="40"/>
      <c r="J2202" s="40">
        <v>512</v>
      </c>
      <c r="K2202" s="20"/>
      <c r="L2202" s="21"/>
      <c r="M2202" s="110">
        <f>IF(L2202="",I2202,(MIN(J2202,(L2202*1.6*J2202))))</f>
        <v>0</v>
      </c>
      <c r="N2202" s="111">
        <f>IF(M2202=0,0,(M2202/J2202))</f>
        <v>0</v>
      </c>
    </row>
    <row r="2203" spans="2:14">
      <c r="B2203" s="73">
        <v>127681</v>
      </c>
      <c r="C2203" s="23" t="str">
        <f>"ORANGE"</f>
        <v>ORANGE</v>
      </c>
      <c r="D2203" s="123">
        <f>SUMIF(B$3:B$3844,B2203,M$3:M$3844)/(SUMIF(B$3:B$3844,B2203,J$3:J$3844))</f>
        <v>0.38094301842471529</v>
      </c>
      <c r="E2203" s="23">
        <v>204480</v>
      </c>
      <c r="F2203" s="46" t="str">
        <f>"MEADOW WOODS MIDDLE"</f>
        <v>MEADOW WOODS MIDDLE</v>
      </c>
      <c r="G2203" s="23"/>
      <c r="H2203" s="23"/>
      <c r="I2203" s="41"/>
      <c r="J2203" s="41">
        <v>966</v>
      </c>
      <c r="K2203" s="20"/>
      <c r="L2203" s="21"/>
      <c r="M2203" s="110">
        <f>IF(L2203="",I2203,(MIN(J2203,(L2203*1.6*J2203))))</f>
        <v>0</v>
      </c>
      <c r="N2203" s="111">
        <f>IF(M2203=0,0,(M2203/J2203))</f>
        <v>0</v>
      </c>
    </row>
    <row r="2204" spans="2:14">
      <c r="B2204" s="72">
        <v>127681</v>
      </c>
      <c r="C2204" s="47" t="str">
        <f>"ORANGE"</f>
        <v>ORANGE</v>
      </c>
      <c r="D2204" s="123">
        <f>SUMIF(B$3:B$3844,B2204,M$3:M$3844)/(SUMIF(B$3:B$3844,B2204,J$3:J$3844))</f>
        <v>0.38094301842471529</v>
      </c>
      <c r="E2204" s="47">
        <v>36053</v>
      </c>
      <c r="F2204" s="48" t="str">
        <f>"MEADOWBROOK MIDDLE"</f>
        <v>MEADOWBROOK MIDDLE</v>
      </c>
      <c r="G2204" s="47"/>
      <c r="H2204" s="47"/>
      <c r="I2204" s="40"/>
      <c r="J2204" s="40">
        <v>1060</v>
      </c>
      <c r="K2204" s="20"/>
      <c r="L2204" s="21"/>
      <c r="M2204" s="110">
        <f>IF(L2204="",I2204,(MIN(J2204,(L2204*1.6*J2204))))</f>
        <v>0</v>
      </c>
      <c r="N2204" s="111">
        <f>IF(M2204=0,0,(M2204/J2204))</f>
        <v>0</v>
      </c>
    </row>
    <row r="2205" spans="2:14">
      <c r="B2205" s="73">
        <v>127681</v>
      </c>
      <c r="C2205" s="23" t="str">
        <f>"ORANGE"</f>
        <v>ORANGE</v>
      </c>
      <c r="D2205" s="123">
        <f>SUMIF(B$3:B$3844,B2205,M$3:M$3844)/(SUMIF(B$3:B$3844,B2205,J$3:J$3844))</f>
        <v>0.38094301842471529</v>
      </c>
      <c r="E2205" s="23">
        <v>36025</v>
      </c>
      <c r="F2205" s="46" t="str">
        <f>"MEMORIAL MIDDLE"</f>
        <v>MEMORIAL MIDDLE</v>
      </c>
      <c r="G2205" s="23"/>
      <c r="H2205" s="23"/>
      <c r="I2205" s="41"/>
      <c r="J2205" s="41">
        <v>813</v>
      </c>
      <c r="K2205" s="20">
        <v>2014</v>
      </c>
      <c r="L2205" s="21">
        <v>0.71640000000000004</v>
      </c>
      <c r="M2205" s="110">
        <f>IF(L2205="",I2205,(MIN(J2205,(L2205*1.6*J2205))))</f>
        <v>813</v>
      </c>
      <c r="N2205" s="111">
        <f>IF(M2205=0,0,(M2205/J2205))</f>
        <v>1</v>
      </c>
    </row>
    <row r="2206" spans="2:14">
      <c r="B2206" s="72">
        <v>127681</v>
      </c>
      <c r="C2206" s="47" t="str">
        <f>"ORANGE"</f>
        <v>ORANGE</v>
      </c>
      <c r="D2206" s="123">
        <f>SUMIF(B$3:B$3844,B2206,M$3:M$3844)/(SUMIF(B$3:B$3844,B2206,J$3:J$3844))</f>
        <v>0.38094301842471529</v>
      </c>
      <c r="E2206" s="47">
        <v>36150</v>
      </c>
      <c r="F2206" s="48" t="str">
        <f>"METROWEST ELEMENTARY"</f>
        <v>METROWEST ELEMENTARY</v>
      </c>
      <c r="G2206" s="47"/>
      <c r="H2206" s="47"/>
      <c r="I2206" s="40">
        <v>1095</v>
      </c>
      <c r="J2206" s="40">
        <v>1583</v>
      </c>
      <c r="K2206" s="20"/>
      <c r="L2206" s="21"/>
      <c r="M2206" s="110">
        <f>IF(L2206="",I2206,(MIN(J2206,(L2206*1.6*J2206))))</f>
        <v>1095</v>
      </c>
      <c r="N2206" s="111">
        <f>IF(M2206=0,0,(M2206/J2206))</f>
        <v>0.69172457359444095</v>
      </c>
    </row>
    <row r="2207" spans="2:14">
      <c r="B2207" s="73">
        <v>127681</v>
      </c>
      <c r="C2207" s="23" t="str">
        <f>"ORANGE"</f>
        <v>ORANGE</v>
      </c>
      <c r="D2207" s="123">
        <f>SUMIF(B$3:B$3844,B2207,M$3:M$3844)/(SUMIF(B$3:B$3844,B2207,J$3:J$3844))</f>
        <v>0.38094301842471529</v>
      </c>
      <c r="E2207" s="23">
        <v>36122</v>
      </c>
      <c r="F2207" s="46" t="str">
        <f>"MICHAEL MCCOY ELEMENTARY"</f>
        <v>MICHAEL MCCOY ELEMENTARY</v>
      </c>
      <c r="G2207" s="23"/>
      <c r="H2207" s="23"/>
      <c r="I2207" s="41"/>
      <c r="J2207" s="41">
        <v>692</v>
      </c>
      <c r="K2207" s="20"/>
      <c r="L2207" s="21"/>
      <c r="M2207" s="110">
        <f>IF(L2207="",I2207,(MIN(J2207,(L2207*1.6*J2207))))</f>
        <v>0</v>
      </c>
      <c r="N2207" s="111">
        <f>IF(M2207=0,0,(M2207/J2207))</f>
        <v>0</v>
      </c>
    </row>
    <row r="2208" spans="2:14">
      <c r="B2208" s="72">
        <v>127681</v>
      </c>
      <c r="C2208" s="47" t="str">
        <f>"ORANGE"</f>
        <v>ORANGE</v>
      </c>
      <c r="D2208" s="123">
        <f>SUMIF(B$3:B$3844,B2208,M$3:M$3844)/(SUMIF(B$3:B$3844,B2208,J$3:J$3844))</f>
        <v>0.38094301842471529</v>
      </c>
      <c r="E2208" s="47">
        <v>36067</v>
      </c>
      <c r="F2208" s="48" t="str">
        <f>"MID FLORIDA TECH"</f>
        <v>MID FLORIDA TECH</v>
      </c>
      <c r="G2208" s="47"/>
      <c r="H2208" s="47"/>
      <c r="I2208" s="40"/>
      <c r="J2208" s="40">
        <v>0</v>
      </c>
      <c r="K2208" s="20"/>
      <c r="L2208" s="21"/>
      <c r="M2208" s="110">
        <f>IF(L2208="",I2208,(MIN(J2208,(L2208*1.6*J2208))))</f>
        <v>0</v>
      </c>
      <c r="N2208" s="111">
        <f>IF(M2208=0,0,(M2208/J2208))</f>
        <v>0</v>
      </c>
    </row>
    <row r="2209" spans="2:14">
      <c r="B2209" s="73">
        <v>127681</v>
      </c>
      <c r="C2209" s="23" t="str">
        <f>"ORANGE"</f>
        <v>ORANGE</v>
      </c>
      <c r="D2209" s="123">
        <f>SUMIF(B$3:B$3844,B2209,M$3:M$3844)/(SUMIF(B$3:B$3844,B2209,J$3:J$3844))</f>
        <v>0.38094301842471529</v>
      </c>
      <c r="E2209" s="23">
        <v>16045320</v>
      </c>
      <c r="F2209" s="46" t="str">
        <f>"MILLENNIA ELEMENTARY"</f>
        <v>MILLENNIA ELEMENTARY</v>
      </c>
      <c r="G2209" s="23"/>
      <c r="H2209" s="23"/>
      <c r="I2209" s="41"/>
      <c r="J2209" s="41">
        <v>1100</v>
      </c>
      <c r="K2209" s="20"/>
      <c r="L2209" s="21"/>
      <c r="M2209" s="110">
        <f>IF(L2209="",I2209,(MIN(J2209,(L2209*1.6*J2209))))</f>
        <v>0</v>
      </c>
      <c r="N2209" s="111">
        <f>IF(M2209=0,0,(M2209/J2209))</f>
        <v>0</v>
      </c>
    </row>
    <row r="2210" spans="2:14">
      <c r="B2210" s="72">
        <v>127681</v>
      </c>
      <c r="C2210" s="47" t="str">
        <f>"ORANGE"</f>
        <v>ORANGE</v>
      </c>
      <c r="D2210" s="123">
        <f>SUMIF(B$3:B$3844,B2210,M$3:M$3844)/(SUMIF(B$3:B$3844,B2210,J$3:J$3844))</f>
        <v>0.38094301842471529</v>
      </c>
      <c r="E2210" s="47">
        <v>36060</v>
      </c>
      <c r="F2210" s="48" t="str">
        <f>"MOLLIE RAY ELEMENTARY"</f>
        <v>MOLLIE RAY ELEMENTARY</v>
      </c>
      <c r="G2210" s="47"/>
      <c r="H2210" s="47"/>
      <c r="I2210" s="40"/>
      <c r="J2210" s="40">
        <v>516</v>
      </c>
      <c r="K2210" s="20">
        <v>2014</v>
      </c>
      <c r="L2210" s="21">
        <v>0.71640000000000004</v>
      </c>
      <c r="M2210" s="110">
        <f>IF(L2210="",I2210,(MIN(J2210,(L2210*1.6*J2210))))</f>
        <v>516</v>
      </c>
      <c r="N2210" s="111">
        <f>IF(M2210=0,0,(M2210/J2210))</f>
        <v>1</v>
      </c>
    </row>
    <row r="2211" spans="2:14">
      <c r="B2211" s="73">
        <v>127681</v>
      </c>
      <c r="C2211" s="23" t="str">
        <f>"ORANGE"</f>
        <v>ORANGE</v>
      </c>
      <c r="D2211" s="123">
        <f>SUMIF(B$3:B$3844,B2211,M$3:M$3844)/(SUMIF(B$3:B$3844,B2211,J$3:J$3844))</f>
        <v>0.38094301842471529</v>
      </c>
      <c r="E2211" s="23">
        <v>16045318</v>
      </c>
      <c r="F2211" s="46" t="str">
        <f>"MOSS PARK ELEMENTARY"</f>
        <v>MOSS PARK ELEMENTARY</v>
      </c>
      <c r="G2211" s="23"/>
      <c r="H2211" s="23"/>
      <c r="I2211" s="41">
        <v>290</v>
      </c>
      <c r="J2211" s="41">
        <v>812</v>
      </c>
      <c r="K2211" s="20"/>
      <c r="L2211" s="21"/>
      <c r="M2211" s="110">
        <f>IF(L2211="",I2211,(MIN(J2211,(L2211*1.6*J2211))))</f>
        <v>290</v>
      </c>
      <c r="N2211" s="111">
        <f>IF(M2211=0,0,(M2211/J2211))</f>
        <v>0.35714285714285715</v>
      </c>
    </row>
    <row r="2212" spans="2:14">
      <c r="B2212" s="72">
        <v>127681</v>
      </c>
      <c r="C2212" s="47" t="str">
        <f>"ORANGE"</f>
        <v>ORANGE</v>
      </c>
      <c r="D2212" s="123">
        <f>SUMIF(B$3:B$3844,B2212,M$3:M$3844)/(SUMIF(B$3:B$3844,B2212,J$3:J$3844))</f>
        <v>0.38094301842471529</v>
      </c>
      <c r="E2212" s="47">
        <v>231521</v>
      </c>
      <c r="F2212" s="48" t="str">
        <f>"NAP FORD COMMUNITY CHARTER"</f>
        <v>NAP FORD COMMUNITY CHARTER</v>
      </c>
      <c r="G2212" s="47"/>
      <c r="H2212" s="47"/>
      <c r="I2212" s="40">
        <v>111</v>
      </c>
      <c r="J2212" s="40">
        <v>139</v>
      </c>
      <c r="K2212" s="20"/>
      <c r="L2212" s="21"/>
      <c r="M2212" s="110">
        <f>IF(L2212="",I2212,(MIN(J2212,(L2212*1.6*J2212))))</f>
        <v>111</v>
      </c>
      <c r="N2212" s="111">
        <f>IF(M2212=0,0,(M2212/J2212))</f>
        <v>0.79856115107913672</v>
      </c>
    </row>
    <row r="2213" spans="2:14">
      <c r="B2213" s="73">
        <v>127681</v>
      </c>
      <c r="C2213" s="23" t="str">
        <f>"ORANGE"</f>
        <v>ORANGE</v>
      </c>
      <c r="D2213" s="123">
        <f>SUMIF(B$3:B$3844,B2213,M$3:M$3844)/(SUMIF(B$3:B$3844,B2213,J$3:J$3844))</f>
        <v>0.38094301842471529</v>
      </c>
      <c r="E2213" s="23">
        <v>170577</v>
      </c>
      <c r="F2213" s="46" t="s">
        <v>2178</v>
      </c>
      <c r="G2213" s="23"/>
      <c r="H2213" s="23"/>
      <c r="I2213" s="41">
        <v>333</v>
      </c>
      <c r="J2213" s="41">
        <v>857</v>
      </c>
      <c r="K2213" s="20"/>
      <c r="L2213" s="21"/>
      <c r="M2213" s="110">
        <f>IF(L2213="",I2213,(MIN(J2213,(L2213*1.6*J2213))))</f>
        <v>333</v>
      </c>
      <c r="N2213" s="111">
        <f>IF(M2213=0,0,(M2213/J2213))</f>
        <v>0.38856476079346558</v>
      </c>
    </row>
    <row r="2214" spans="2:14">
      <c r="B2214" s="72">
        <v>127681</v>
      </c>
      <c r="C2214" s="47" t="str">
        <f>"ORANGE"</f>
        <v>ORANGE</v>
      </c>
      <c r="D2214" s="123">
        <f>SUMIF(B$3:B$3844,B2214,M$3:M$3844)/(SUMIF(B$3:B$3844,B2214,J$3:J$3844))</f>
        <v>0.38094301842471529</v>
      </c>
      <c r="E2214" s="47">
        <v>36146</v>
      </c>
      <c r="F2214" s="48" t="str">
        <f>"OAK HILL ELEMENTARY"</f>
        <v>OAK HILL ELEMENTARY</v>
      </c>
      <c r="G2214" s="47"/>
      <c r="H2214" s="47"/>
      <c r="I2214" s="40"/>
      <c r="J2214" s="40">
        <v>495</v>
      </c>
      <c r="K2214" s="20"/>
      <c r="L2214" s="21"/>
      <c r="M2214" s="110">
        <f>IF(L2214="",I2214,(MIN(J2214,(L2214*1.6*J2214))))</f>
        <v>0</v>
      </c>
      <c r="N2214" s="111">
        <f>IF(M2214=0,0,(M2214/J2214))</f>
        <v>0</v>
      </c>
    </row>
    <row r="2215" spans="2:14">
      <c r="B2215" s="73">
        <v>127681</v>
      </c>
      <c r="C2215" s="23" t="str">
        <f>"ORANGE"</f>
        <v>ORANGE</v>
      </c>
      <c r="D2215" s="123">
        <f>SUMIF(B$3:B$3844,B2215,M$3:M$3844)/(SUMIF(B$3:B$3844,B2215,J$3:J$3844))</f>
        <v>0.38094301842471529</v>
      </c>
      <c r="E2215" s="23">
        <v>36074</v>
      </c>
      <c r="F2215" s="46" t="str">
        <f>"OAK RIDGE HIGH"</f>
        <v>OAK RIDGE HIGH</v>
      </c>
      <c r="G2215" s="23"/>
      <c r="H2215" s="23"/>
      <c r="I2215" s="41"/>
      <c r="J2215" s="41">
        <v>2950</v>
      </c>
      <c r="K2215" s="20"/>
      <c r="L2215" s="21"/>
      <c r="M2215" s="110">
        <f>IF(L2215="",I2215,(MIN(J2215,(L2215*1.6*J2215))))</f>
        <v>0</v>
      </c>
      <c r="N2215" s="111">
        <f>IF(M2215=0,0,(M2215/J2215))</f>
        <v>0</v>
      </c>
    </row>
    <row r="2216" spans="2:14">
      <c r="B2216" s="72">
        <v>127681</v>
      </c>
      <c r="C2216" s="47" t="str">
        <f>"ORANGE"</f>
        <v>ORANGE</v>
      </c>
      <c r="D2216" s="123">
        <f>SUMIF(B$3:B$3844,B2216,M$3:M$3844)/(SUMIF(B$3:B$3844,B2216,J$3:J$3844))</f>
        <v>0.38094301842471529</v>
      </c>
      <c r="E2216" s="47">
        <v>227275</v>
      </c>
      <c r="F2216" s="48" t="str">
        <f>"OAKLAND AVENUE CHARTER"</f>
        <v>OAKLAND AVENUE CHARTER</v>
      </c>
      <c r="G2216" s="47"/>
      <c r="H2216" s="47"/>
      <c r="I2216" s="40"/>
      <c r="J2216" s="40">
        <v>529</v>
      </c>
      <c r="K2216" s="20"/>
      <c r="L2216" s="21"/>
      <c r="M2216" s="110">
        <f>IF(L2216="",I2216,(MIN(J2216,(L2216*1.6*J2216))))</f>
        <v>0</v>
      </c>
      <c r="N2216" s="111">
        <f>IF(M2216=0,0,(M2216/J2216))</f>
        <v>0</v>
      </c>
    </row>
    <row r="2217" spans="2:14">
      <c r="B2217" s="73">
        <v>127681</v>
      </c>
      <c r="C2217" s="23" t="str">
        <f>"ORANGE"</f>
        <v>ORANGE</v>
      </c>
      <c r="D2217" s="123">
        <f>SUMIF(B$3:B$3844,B2217,M$3:M$3844)/(SUMIF(B$3:B$3844,B2217,J$3:J$3844))</f>
        <v>0.38094301842471529</v>
      </c>
      <c r="E2217" s="23">
        <v>225522</v>
      </c>
      <c r="F2217" s="46" t="str">
        <f>"OAKSHIRE ELEMENTARY"</f>
        <v>OAKSHIRE ELEMENTARY</v>
      </c>
      <c r="G2217" s="23"/>
      <c r="H2217" s="23"/>
      <c r="I2217" s="41"/>
      <c r="J2217" s="41">
        <v>695</v>
      </c>
      <c r="K2217" s="20"/>
      <c r="L2217" s="21"/>
      <c r="M2217" s="110">
        <f>IF(L2217="",I2217,(MIN(J2217,(L2217*1.6*J2217))))</f>
        <v>0</v>
      </c>
      <c r="N2217" s="111">
        <f>IF(M2217=0,0,(M2217/J2217))</f>
        <v>0</v>
      </c>
    </row>
    <row r="2218" spans="2:14">
      <c r="B2218" s="72">
        <v>127681</v>
      </c>
      <c r="C2218" s="47" t="str">
        <f>"ORANGE"</f>
        <v>ORANGE</v>
      </c>
      <c r="D2218" s="123">
        <f>SUMIF(B$3:B$3844,B2218,M$3:M$3844)/(SUMIF(B$3:B$3844,B2218,J$3:J$3844))</f>
        <v>0.38094301842471529</v>
      </c>
      <c r="E2218" s="47">
        <v>16080389</v>
      </c>
      <c r="F2218" s="48" t="s">
        <v>2179</v>
      </c>
      <c r="G2218" s="47"/>
      <c r="H2218" s="47"/>
      <c r="I2218" s="40"/>
      <c r="J2218" s="40">
        <v>186</v>
      </c>
      <c r="K2218" s="20"/>
      <c r="L2218" s="21"/>
      <c r="M2218" s="110">
        <f>IF(L2218="",I2218,(MIN(J2218,(L2218*1.6*J2218))))</f>
        <v>0</v>
      </c>
      <c r="N2218" s="111">
        <f>IF(M2218=0,0,(M2218/J2218))</f>
        <v>0</v>
      </c>
    </row>
    <row r="2219" spans="2:14">
      <c r="B2219" s="73">
        <v>127681</v>
      </c>
      <c r="C2219" s="23" t="str">
        <f>"ORANGE"</f>
        <v>ORANGE</v>
      </c>
      <c r="D2219" s="123">
        <f>SUMIF(B$3:B$3844,B2219,M$3:M$3844)/(SUMIF(B$3:B$3844,B2219,J$3:J$3844))</f>
        <v>0.38094301842471529</v>
      </c>
      <c r="E2219" s="23">
        <v>38771</v>
      </c>
      <c r="F2219" s="46" t="str">
        <f>"OCOEE ELEMENTARY"</f>
        <v>OCOEE ELEMENTARY</v>
      </c>
      <c r="G2219" s="23"/>
      <c r="H2219" s="23"/>
      <c r="I2219" s="41"/>
      <c r="J2219" s="41">
        <v>812</v>
      </c>
      <c r="K2219" s="20"/>
      <c r="L2219" s="21"/>
      <c r="M2219" s="110">
        <f>IF(L2219="",I2219,(MIN(J2219,(L2219*1.6*J2219))))</f>
        <v>0</v>
      </c>
      <c r="N2219" s="111">
        <f>IF(M2219=0,0,(M2219/J2219))</f>
        <v>0</v>
      </c>
    </row>
    <row r="2220" spans="2:14">
      <c r="B2220" s="72">
        <v>127681</v>
      </c>
      <c r="C2220" s="47" t="str">
        <f>"ORANGE"</f>
        <v>ORANGE</v>
      </c>
      <c r="D2220" s="123">
        <f>SUMIF(B$3:B$3844,B2220,M$3:M$3844)/(SUMIF(B$3:B$3844,B2220,J$3:J$3844))</f>
        <v>0.38094301842471529</v>
      </c>
      <c r="E2220" s="47">
        <v>16033383</v>
      </c>
      <c r="F2220" s="48" t="str">
        <f>"OCOEE HIGH"</f>
        <v>OCOEE HIGH</v>
      </c>
      <c r="G2220" s="47"/>
      <c r="H2220" s="47"/>
      <c r="I2220" s="40">
        <v>1569</v>
      </c>
      <c r="J2220" s="40">
        <v>2355</v>
      </c>
      <c r="K2220" s="20"/>
      <c r="L2220" s="21"/>
      <c r="M2220" s="110">
        <f>IF(L2220="",I2220,(MIN(J2220,(L2220*1.6*J2220))))</f>
        <v>1569</v>
      </c>
      <c r="N2220" s="111">
        <f>IF(M2220=0,0,(M2220/J2220))</f>
        <v>0.66624203821656047</v>
      </c>
    </row>
    <row r="2221" spans="2:14">
      <c r="B2221" s="73">
        <v>127681</v>
      </c>
      <c r="C2221" s="23" t="str">
        <f>"ORANGE"</f>
        <v>ORANGE</v>
      </c>
      <c r="D2221" s="123">
        <f>SUMIF(B$3:B$3844,B2221,M$3:M$3844)/(SUMIF(B$3:B$3844,B2221,J$3:J$3844))</f>
        <v>0.38094301842471529</v>
      </c>
      <c r="E2221" s="23">
        <v>38772</v>
      </c>
      <c r="F2221" s="46" t="str">
        <f>"OCOEE MIDDLE"</f>
        <v>OCOEE MIDDLE</v>
      </c>
      <c r="G2221" s="23"/>
      <c r="H2221" s="23"/>
      <c r="I2221" s="41">
        <v>982</v>
      </c>
      <c r="J2221" s="41">
        <v>1409</v>
      </c>
      <c r="K2221" s="20"/>
      <c r="L2221" s="21"/>
      <c r="M2221" s="110">
        <f>IF(L2221="",I2221,(MIN(J2221,(L2221*1.6*J2221))))</f>
        <v>982</v>
      </c>
      <c r="N2221" s="111">
        <f>IF(M2221=0,0,(M2221/J2221))</f>
        <v>0.69694819020581977</v>
      </c>
    </row>
    <row r="2222" spans="2:14">
      <c r="B2222" s="72">
        <v>127681</v>
      </c>
      <c r="C2222" s="47" t="str">
        <f>"ORANGE"</f>
        <v>ORANGE</v>
      </c>
      <c r="D2222" s="123">
        <f>SUMIF(B$3:B$3844,B2222,M$3:M$3844)/(SUMIF(B$3:B$3844,B2222,J$3:J$3844))</f>
        <v>0.38094301842471529</v>
      </c>
      <c r="E2222" s="47">
        <v>229028</v>
      </c>
      <c r="F2222" s="48" t="str">
        <f>"ODYSSEY MIDDLE"</f>
        <v>ODYSSEY MIDDLE</v>
      </c>
      <c r="G2222" s="47"/>
      <c r="H2222" s="47"/>
      <c r="I2222" s="40">
        <v>569</v>
      </c>
      <c r="J2222" s="40">
        <v>871</v>
      </c>
      <c r="K2222" s="20"/>
      <c r="L2222" s="21"/>
      <c r="M2222" s="110">
        <f>IF(L2222="",I2222,(MIN(J2222,(L2222*1.6*J2222))))</f>
        <v>569</v>
      </c>
      <c r="N2222" s="111">
        <f>IF(M2222=0,0,(M2222/J2222))</f>
        <v>0.65327210103329503</v>
      </c>
    </row>
    <row r="2223" spans="2:14">
      <c r="B2223" s="73">
        <v>127681</v>
      </c>
      <c r="C2223" s="23" t="str">
        <f>"ORANGE"</f>
        <v>ORANGE</v>
      </c>
      <c r="D2223" s="123">
        <f>SUMIF(B$3:B$3844,B2223,M$3:M$3844)/(SUMIF(B$3:B$3844,B2223,J$3:J$3844))</f>
        <v>0.38094301842471529</v>
      </c>
      <c r="E2223" s="23">
        <v>229029</v>
      </c>
      <c r="F2223" s="46" t="s">
        <v>2180</v>
      </c>
      <c r="G2223" s="23"/>
      <c r="H2223" s="23"/>
      <c r="I2223" s="41">
        <v>1423</v>
      </c>
      <c r="J2223" s="41">
        <v>3194</v>
      </c>
      <c r="K2223" s="20"/>
      <c r="L2223" s="21"/>
      <c r="M2223" s="110">
        <f>IF(L2223="",I2223,(MIN(J2223,(L2223*1.6*J2223))))</f>
        <v>1423</v>
      </c>
      <c r="N2223" s="111">
        <f>IF(M2223=0,0,(M2223/J2223))</f>
        <v>0.44552285535378833</v>
      </c>
    </row>
    <row r="2224" spans="2:14">
      <c r="B2224" s="72">
        <v>127681</v>
      </c>
      <c r="C2224" s="47" t="str">
        <f>"ORANGE"</f>
        <v>ORANGE</v>
      </c>
      <c r="D2224" s="123">
        <f>SUMIF(B$3:B$3844,B2224,M$3:M$3844)/(SUMIF(B$3:B$3844,B2224,J$3:J$3844))</f>
        <v>0.38094301842471529</v>
      </c>
      <c r="E2224" s="47">
        <v>36017</v>
      </c>
      <c r="F2224" s="48" t="str">
        <f>"ORANGE CENTER ELEMENTARY"</f>
        <v>ORANGE CENTER ELEMENTARY</v>
      </c>
      <c r="G2224" s="47"/>
      <c r="H2224" s="47"/>
      <c r="I2224" s="40"/>
      <c r="J2224" s="40">
        <v>251</v>
      </c>
      <c r="K2224" s="20">
        <v>2014</v>
      </c>
      <c r="L2224" s="21">
        <v>0.71640000000000004</v>
      </c>
      <c r="M2224" s="110">
        <f>IF(L2224="",I2224,(MIN(J2224,(L2224*1.6*J2224))))</f>
        <v>251</v>
      </c>
      <c r="N2224" s="111">
        <f>IF(M2224=0,0,(M2224/J2224))</f>
        <v>1</v>
      </c>
    </row>
    <row r="2225" spans="2:14" ht="30">
      <c r="B2225" s="73">
        <v>127681</v>
      </c>
      <c r="C2225" s="23" t="str">
        <f>"ORANGE"</f>
        <v>ORANGE</v>
      </c>
      <c r="D2225" s="123">
        <f>SUMIF(B$3:B$3844,B2225,M$3:M$3844)/(SUMIF(B$3:B$3844,B2225,J$3:J$3844))</f>
        <v>0.38094301842471529</v>
      </c>
      <c r="E2225" s="23">
        <v>16077239</v>
      </c>
      <c r="F2225" s="46" t="s">
        <v>2181</v>
      </c>
      <c r="G2225" s="23"/>
      <c r="H2225" s="23"/>
      <c r="I2225" s="41">
        <v>144</v>
      </c>
      <c r="J2225" s="41">
        <v>428</v>
      </c>
      <c r="K2225" s="20"/>
      <c r="L2225" s="21"/>
      <c r="M2225" s="110">
        <f>IF(L2225="",I2225,(MIN(J2225,(L2225*1.6*J2225))))</f>
        <v>144</v>
      </c>
      <c r="N2225" s="111">
        <f>IF(M2225=0,0,(M2225/J2225))</f>
        <v>0.3364485981308411</v>
      </c>
    </row>
    <row r="2226" spans="2:14">
      <c r="B2226" s="72">
        <v>127681</v>
      </c>
      <c r="C2226" s="47" t="str">
        <f>"ORANGE"</f>
        <v>ORANGE</v>
      </c>
      <c r="D2226" s="123">
        <f>SUMIF(B$3:B$3844,B2226,M$3:M$3844)/(SUMIF(B$3:B$3844,B2226,J$3:J$3844))</f>
        <v>0.38094301842471529</v>
      </c>
      <c r="E2226" s="47">
        <v>16076503</v>
      </c>
      <c r="F2226" s="48" t="s">
        <v>2182</v>
      </c>
      <c r="G2226" s="47"/>
      <c r="H2226" s="47"/>
      <c r="I2226" s="40">
        <v>192</v>
      </c>
      <c r="J2226" s="40">
        <v>490</v>
      </c>
      <c r="K2226" s="20"/>
      <c r="L2226" s="21"/>
      <c r="M2226" s="110">
        <f>IF(L2226="",I2226,(MIN(J2226,(L2226*1.6*J2226))))</f>
        <v>192</v>
      </c>
      <c r="N2226" s="111">
        <f>IF(M2226=0,0,(M2226/J2226))</f>
        <v>0.39183673469387753</v>
      </c>
    </row>
    <row r="2227" spans="2:14">
      <c r="B2227" s="73">
        <v>127681</v>
      </c>
      <c r="C2227" s="23" t="str">
        <f>"ORANGE"</f>
        <v>ORANGE</v>
      </c>
      <c r="D2227" s="123">
        <f>SUMIF(B$3:B$3844,B2227,M$3:M$3844)/(SUMIF(B$3:B$3844,B2227,J$3:J$3844))</f>
        <v>0.38094301842471529</v>
      </c>
      <c r="E2227" s="23">
        <v>16068656</v>
      </c>
      <c r="F2227" s="46" t="s">
        <v>2183</v>
      </c>
      <c r="G2227" s="23"/>
      <c r="H2227" s="23"/>
      <c r="I2227" s="41">
        <v>204</v>
      </c>
      <c r="J2227" s="41">
        <v>566</v>
      </c>
      <c r="K2227" s="20"/>
      <c r="L2227" s="21"/>
      <c r="M2227" s="110">
        <f>IF(L2227="",I2227,(MIN(J2227,(L2227*1.6*J2227))))</f>
        <v>204</v>
      </c>
      <c r="N2227" s="111">
        <f>IF(M2227=0,0,(M2227/J2227))</f>
        <v>0.36042402826855124</v>
      </c>
    </row>
    <row r="2228" spans="2:14">
      <c r="B2228" s="72">
        <v>127681</v>
      </c>
      <c r="C2228" s="47" t="str">
        <f>"ORANGE"</f>
        <v>ORANGE</v>
      </c>
      <c r="D2228" s="123">
        <f>SUMIF(B$3:B$3844,B2228,M$3:M$3844)/(SUMIF(B$3:B$3844,B2228,J$3:J$3844))</f>
        <v>0.38094301842471529</v>
      </c>
      <c r="E2228" s="47">
        <v>35991</v>
      </c>
      <c r="F2228" s="48" t="str">
        <f>"ORLANDO TECH"</f>
        <v>ORLANDO TECH</v>
      </c>
      <c r="G2228" s="47"/>
      <c r="H2228" s="47"/>
      <c r="I2228" s="40"/>
      <c r="J2228" s="40">
        <v>0</v>
      </c>
      <c r="K2228" s="20"/>
      <c r="L2228" s="21"/>
      <c r="M2228" s="110">
        <f>IF(L2228="",I2228,(MIN(J2228,(L2228*1.6*J2228))))</f>
        <v>0</v>
      </c>
      <c r="N2228" s="111">
        <f>IF(M2228=0,0,(M2228/J2228))</f>
        <v>0</v>
      </c>
    </row>
    <row r="2229" spans="2:14">
      <c r="B2229" s="73">
        <v>127681</v>
      </c>
      <c r="C2229" s="23" t="str">
        <f>"ORANGE"</f>
        <v>ORANGE</v>
      </c>
      <c r="D2229" s="123">
        <f>SUMIF(B$3:B$3844,B2229,M$3:M$3844)/(SUMIF(B$3:B$3844,B2229,J$3:J$3844))</f>
        <v>0.38094301842471529</v>
      </c>
      <c r="E2229" s="23">
        <v>36147</v>
      </c>
      <c r="F2229" s="46" t="str">
        <f>"ORLO VISTA ELEMENTARY"</f>
        <v>ORLO VISTA ELEMENTARY</v>
      </c>
      <c r="G2229" s="23"/>
      <c r="H2229" s="23"/>
      <c r="I2229" s="41"/>
      <c r="J2229" s="41">
        <v>646</v>
      </c>
      <c r="K2229" s="20"/>
      <c r="L2229" s="21"/>
      <c r="M2229" s="110">
        <f>IF(L2229="",I2229,(MIN(J2229,(L2229*1.6*J2229))))</f>
        <v>0</v>
      </c>
      <c r="N2229" s="111">
        <f>IF(M2229=0,0,(M2229/J2229))</f>
        <v>0</v>
      </c>
    </row>
    <row r="2230" spans="2:14">
      <c r="B2230" s="72">
        <v>127681</v>
      </c>
      <c r="C2230" s="47" t="str">
        <f>"ORANGE"</f>
        <v>ORANGE</v>
      </c>
      <c r="D2230" s="123">
        <f>SUMIF(B$3:B$3844,B2230,M$3:M$3844)/(SUMIF(B$3:B$3844,B2230,J$3:J$3844))</f>
        <v>0.38094301842471529</v>
      </c>
      <c r="E2230" s="47">
        <v>35995</v>
      </c>
      <c r="F2230" s="48" t="str">
        <f>"PACE CENTER FOR GIRLS"</f>
        <v>PACE CENTER FOR GIRLS</v>
      </c>
      <c r="G2230" s="47"/>
      <c r="H2230" s="47"/>
      <c r="I2230" s="40"/>
      <c r="J2230" s="40">
        <v>25</v>
      </c>
      <c r="K2230" s="20"/>
      <c r="L2230" s="21"/>
      <c r="M2230" s="110">
        <f>IF(L2230="",I2230,(MIN(J2230,(L2230*1.6*J2230))))</f>
        <v>0</v>
      </c>
      <c r="N2230" s="111">
        <f>IF(M2230=0,0,(M2230/J2230))</f>
        <v>0</v>
      </c>
    </row>
    <row r="2231" spans="2:14">
      <c r="B2231" s="73">
        <v>127681</v>
      </c>
      <c r="C2231" s="23" t="str">
        <f>"ORANGE"</f>
        <v>ORANGE</v>
      </c>
      <c r="D2231" s="123">
        <f>SUMIF(B$3:B$3844,B2231,M$3:M$3844)/(SUMIF(B$3:B$3844,B2231,J$3:J$3844))</f>
        <v>0.38094301842471529</v>
      </c>
      <c r="E2231" s="23">
        <v>36116</v>
      </c>
      <c r="F2231" s="46" t="str">
        <f>"PALM LAKE ELEMENTARY"</f>
        <v>PALM LAKE ELEMENTARY</v>
      </c>
      <c r="G2231" s="23"/>
      <c r="H2231" s="23"/>
      <c r="I2231" s="41">
        <v>259</v>
      </c>
      <c r="J2231" s="41">
        <v>570</v>
      </c>
      <c r="K2231" s="20"/>
      <c r="L2231" s="21"/>
      <c r="M2231" s="110">
        <f>IF(L2231="",I2231,(MIN(J2231,(L2231*1.6*J2231))))</f>
        <v>259</v>
      </c>
      <c r="N2231" s="111">
        <f>IF(M2231=0,0,(M2231/J2231))</f>
        <v>0.45438596491228073</v>
      </c>
    </row>
    <row r="2232" spans="2:14">
      <c r="B2232" s="72">
        <v>127681</v>
      </c>
      <c r="C2232" s="47" t="str">
        <f>"ORANGE"</f>
        <v>ORANGE</v>
      </c>
      <c r="D2232" s="123">
        <f>SUMIF(B$3:B$3844,B2232,M$3:M$3844)/(SUMIF(B$3:B$3844,B2232,J$3:J$3844))</f>
        <v>0.38094301842471529</v>
      </c>
      <c r="E2232" s="47">
        <v>36159</v>
      </c>
      <c r="F2232" s="48" t="str">
        <f>"PALMETTO ELEMENTARY"</f>
        <v>PALMETTO ELEMENTARY</v>
      </c>
      <c r="G2232" s="47"/>
      <c r="H2232" s="47"/>
      <c r="I2232" s="40"/>
      <c r="J2232" s="40">
        <v>1228</v>
      </c>
      <c r="K2232" s="20"/>
      <c r="L2232" s="21"/>
      <c r="M2232" s="110">
        <f>IF(L2232="",I2232,(MIN(J2232,(L2232*1.6*J2232))))</f>
        <v>0</v>
      </c>
      <c r="N2232" s="111">
        <f>IF(M2232=0,0,(M2232/J2232))</f>
        <v>0</v>
      </c>
    </row>
    <row r="2233" spans="2:14">
      <c r="B2233" s="73">
        <v>127681</v>
      </c>
      <c r="C2233" s="23" t="str">
        <f>"ORANGE"</f>
        <v>ORANGE</v>
      </c>
      <c r="D2233" s="123">
        <f>SUMIF(B$3:B$3844,B2233,M$3:M$3844)/(SUMIF(B$3:B$3844,B2233,J$3:J$3844))</f>
        <v>0.38094301842471529</v>
      </c>
      <c r="E2233" s="23">
        <v>16066951</v>
      </c>
      <c r="F2233" s="46" t="str">
        <f>"PASSPORT CHARTER"</f>
        <v>PASSPORT CHARTER</v>
      </c>
      <c r="G2233" s="23"/>
      <c r="H2233" s="23"/>
      <c r="I2233" s="41">
        <v>142</v>
      </c>
      <c r="J2233" s="41">
        <v>174</v>
      </c>
      <c r="K2233" s="20"/>
      <c r="L2233" s="21"/>
      <c r="M2233" s="110">
        <f>IF(L2233="",I2233,(MIN(J2233,(L2233*1.6*J2233))))</f>
        <v>142</v>
      </c>
      <c r="N2233" s="111">
        <f>IF(M2233=0,0,(M2233/J2233))</f>
        <v>0.81609195402298851</v>
      </c>
    </row>
    <row r="2234" spans="2:14">
      <c r="B2234" s="72">
        <v>127681</v>
      </c>
      <c r="C2234" s="47" t="str">
        <f>"ORANGE"</f>
        <v>ORANGE</v>
      </c>
      <c r="D2234" s="123">
        <f>SUMIF(B$3:B$3844,B2234,M$3:M$3844)/(SUMIF(B$3:B$3844,B2234,J$3:J$3844))</f>
        <v>0.38094301842471529</v>
      </c>
      <c r="E2234" s="47">
        <v>36036</v>
      </c>
      <c r="F2234" s="48" t="str">
        <f>"PERSHING ELEMENTARY"</f>
        <v>PERSHING ELEMENTARY</v>
      </c>
      <c r="G2234" s="47"/>
      <c r="H2234" s="47"/>
      <c r="I2234" s="40">
        <v>196</v>
      </c>
      <c r="J2234" s="40">
        <v>303</v>
      </c>
      <c r="K2234" s="20"/>
      <c r="L2234" s="21"/>
      <c r="M2234" s="110">
        <f>IF(L2234="",I2234,(MIN(J2234,(L2234*1.6*J2234))))</f>
        <v>196</v>
      </c>
      <c r="N2234" s="111">
        <f>IF(M2234=0,0,(M2234/J2234))</f>
        <v>0.64686468646864681</v>
      </c>
    </row>
    <row r="2235" spans="2:14">
      <c r="B2235" s="73">
        <v>127681</v>
      </c>
      <c r="C2235" s="23" t="str">
        <f>"ORANGE"</f>
        <v>ORANGE</v>
      </c>
      <c r="D2235" s="123">
        <f>SUMIF(B$3:B$3844,B2235,M$3:M$3844)/(SUMIF(B$3:B$3844,B2235,J$3:J$3844))</f>
        <v>0.38094301842471529</v>
      </c>
      <c r="E2235" s="23">
        <v>35794</v>
      </c>
      <c r="F2235" s="46" t="str">
        <f>"PHYLLIS WHEATLEY ELEMENTARY"</f>
        <v>PHYLLIS WHEATLEY ELEMENTARY</v>
      </c>
      <c r="G2235" s="23"/>
      <c r="H2235" s="23"/>
      <c r="I2235" s="41"/>
      <c r="J2235" s="41">
        <v>446</v>
      </c>
      <c r="K2235" s="20">
        <v>2014</v>
      </c>
      <c r="L2235" s="21">
        <v>0.71640000000000004</v>
      </c>
      <c r="M2235" s="110">
        <f>IF(L2235="",I2235,(MIN(J2235,(L2235*1.6*J2235))))</f>
        <v>446</v>
      </c>
      <c r="N2235" s="111">
        <f>IF(M2235=0,0,(M2235/J2235))</f>
        <v>1</v>
      </c>
    </row>
    <row r="2236" spans="2:14">
      <c r="B2236" s="72">
        <v>127681</v>
      </c>
      <c r="C2236" s="47" t="str">
        <f>"ORANGE"</f>
        <v>ORANGE</v>
      </c>
      <c r="D2236" s="123">
        <f>SUMIF(B$3:B$3844,B2236,M$3:M$3844)/(SUMIF(B$3:B$3844,B2236,J$3:J$3844))</f>
        <v>0.38094301842471529</v>
      </c>
      <c r="E2236" s="47">
        <v>35795</v>
      </c>
      <c r="F2236" s="48" t="str">
        <f>"PIEDMONT LAKES MIDDLE"</f>
        <v>PIEDMONT LAKES MIDDLE</v>
      </c>
      <c r="G2236" s="47"/>
      <c r="H2236" s="47"/>
      <c r="I2236" s="40"/>
      <c r="J2236" s="40">
        <v>1145</v>
      </c>
      <c r="K2236" s="20"/>
      <c r="L2236" s="21"/>
      <c r="M2236" s="110">
        <f>IF(L2236="",I2236,(MIN(J2236,(L2236*1.6*J2236))))</f>
        <v>0</v>
      </c>
      <c r="N2236" s="111">
        <f>IF(M2236=0,0,(M2236/J2236))</f>
        <v>0</v>
      </c>
    </row>
    <row r="2237" spans="2:14">
      <c r="B2237" s="73">
        <v>127681</v>
      </c>
      <c r="C2237" s="23" t="str">
        <f>"ORANGE"</f>
        <v>ORANGE</v>
      </c>
      <c r="D2237" s="123">
        <f>SUMIF(B$3:B$3844,B2237,M$3:M$3844)/(SUMIF(B$3:B$3844,B2237,J$3:J$3844))</f>
        <v>0.38094301842471529</v>
      </c>
      <c r="E2237" s="23">
        <v>36125</v>
      </c>
      <c r="F2237" s="46" t="str">
        <f>"PINAR ELEMENTARY"</f>
        <v>PINAR ELEMENTARY</v>
      </c>
      <c r="G2237" s="23"/>
      <c r="H2237" s="23"/>
      <c r="I2237" s="41"/>
      <c r="J2237" s="41">
        <v>441</v>
      </c>
      <c r="K2237" s="20"/>
      <c r="L2237" s="21"/>
      <c r="M2237" s="110">
        <f>IF(L2237="",I2237,(MIN(J2237,(L2237*1.6*J2237))))</f>
        <v>0</v>
      </c>
      <c r="N2237" s="111">
        <f>IF(M2237=0,0,(M2237/J2237))</f>
        <v>0</v>
      </c>
    </row>
    <row r="2238" spans="2:14">
      <c r="B2238" s="72">
        <v>127681</v>
      </c>
      <c r="C2238" s="47" t="str">
        <f>"ORANGE"</f>
        <v>ORANGE</v>
      </c>
      <c r="D2238" s="123">
        <f>SUMIF(B$3:B$3844,B2238,M$3:M$3844)/(SUMIF(B$3:B$3844,B2238,J$3:J$3844))</f>
        <v>0.38094301842471529</v>
      </c>
      <c r="E2238" s="47">
        <v>36069</v>
      </c>
      <c r="F2238" s="48" t="str">
        <f>"PINE CASTLE ELEMENTARY"</f>
        <v>PINE CASTLE ELEMENTARY</v>
      </c>
      <c r="G2238" s="47"/>
      <c r="H2238" s="47"/>
      <c r="I2238" s="40">
        <v>1</v>
      </c>
      <c r="J2238" s="40">
        <v>336</v>
      </c>
      <c r="K2238" s="20"/>
      <c r="L2238" s="21"/>
      <c r="M2238" s="110">
        <f>IF(L2238="",I2238,(MIN(J2238,(L2238*1.6*J2238))))</f>
        <v>1</v>
      </c>
      <c r="N2238" s="111">
        <f>IF(M2238=0,0,(M2238/J2238))</f>
        <v>2.976190476190476E-3</v>
      </c>
    </row>
    <row r="2239" spans="2:14">
      <c r="B2239" s="73">
        <v>127681</v>
      </c>
      <c r="C2239" s="23" t="str">
        <f>"ORANGE"</f>
        <v>ORANGE</v>
      </c>
      <c r="D2239" s="123">
        <f>SUMIF(B$3:B$3844,B2239,M$3:M$3844)/(SUMIF(B$3:B$3844,B2239,J$3:J$3844))</f>
        <v>0.38094301842471529</v>
      </c>
      <c r="E2239" s="23">
        <v>36061</v>
      </c>
      <c r="F2239" s="46" t="str">
        <f>"PINE HILLS ELEMENTARY"</f>
        <v>PINE HILLS ELEMENTARY</v>
      </c>
      <c r="G2239" s="23"/>
      <c r="H2239" s="23"/>
      <c r="I2239" s="41"/>
      <c r="J2239" s="41">
        <v>664</v>
      </c>
      <c r="K2239" s="20">
        <v>2014</v>
      </c>
      <c r="L2239" s="21">
        <v>0.71640000000000004</v>
      </c>
      <c r="M2239" s="110">
        <f>IF(L2239="",I2239,(MIN(J2239,(L2239*1.6*J2239))))</f>
        <v>664</v>
      </c>
      <c r="N2239" s="111">
        <f>IF(M2239=0,0,(M2239/J2239))</f>
        <v>1</v>
      </c>
    </row>
    <row r="2240" spans="2:14">
      <c r="B2240" s="72">
        <v>127681</v>
      </c>
      <c r="C2240" s="47" t="str">
        <f>"ORANGE"</f>
        <v>ORANGE</v>
      </c>
      <c r="D2240" s="123">
        <f>SUMIF(B$3:B$3844,B2240,M$3:M$3844)/(SUMIF(B$3:B$3844,B2240,J$3:J$3844))</f>
        <v>0.38094301842471529</v>
      </c>
      <c r="E2240" s="47">
        <v>16072605</v>
      </c>
      <c r="F2240" s="48" t="str">
        <f>"PINECREST CREEK CHARTER"</f>
        <v>PINECREST CREEK CHARTER</v>
      </c>
      <c r="G2240" s="47"/>
      <c r="H2240" s="47"/>
      <c r="I2240" s="40">
        <v>1</v>
      </c>
      <c r="J2240" s="40">
        <v>128</v>
      </c>
      <c r="K2240" s="20"/>
      <c r="L2240" s="21"/>
      <c r="M2240" s="110">
        <f>IF(L2240="",I2240,(MIN(J2240,(L2240*1.6*J2240))))</f>
        <v>1</v>
      </c>
      <c r="N2240" s="111">
        <f>IF(M2240=0,0,(M2240/J2240))</f>
        <v>7.8125E-3</v>
      </c>
    </row>
    <row r="2241" spans="2:14">
      <c r="B2241" s="73">
        <v>127681</v>
      </c>
      <c r="C2241" s="23" t="str">
        <f>"ORANGE"</f>
        <v>ORANGE</v>
      </c>
      <c r="D2241" s="123">
        <f>SUMIF(B$3:B$3844,B2241,M$3:M$3844)/(SUMIF(B$3:B$3844,B2241,J$3:J$3844))</f>
        <v>0.38094301842471529</v>
      </c>
      <c r="E2241" s="23">
        <v>16061796</v>
      </c>
      <c r="F2241" s="46" t="str">
        <f>"PINECREST PREPARATORY CHARTER"</f>
        <v>PINECREST PREPARATORY CHARTER</v>
      </c>
      <c r="G2241" s="23"/>
      <c r="H2241" s="23"/>
      <c r="I2241" s="41">
        <v>56</v>
      </c>
      <c r="J2241" s="41">
        <v>234</v>
      </c>
      <c r="K2241" s="20"/>
      <c r="L2241" s="21"/>
      <c r="M2241" s="110">
        <f>IF(L2241="",I2241,(MIN(J2241,(L2241*1.6*J2241))))</f>
        <v>56</v>
      </c>
      <c r="N2241" s="111">
        <f>IF(M2241=0,0,(M2241/J2241))</f>
        <v>0.23931623931623933</v>
      </c>
    </row>
    <row r="2242" spans="2:14">
      <c r="B2242" s="72">
        <v>127681</v>
      </c>
      <c r="C2242" s="47" t="str">
        <f>"ORANGE"</f>
        <v>ORANGE</v>
      </c>
      <c r="D2242" s="123">
        <f>SUMIF(B$3:B$3844,B2242,M$3:M$3844)/(SUMIF(B$3:B$3844,B2242,J$3:J$3844))</f>
        <v>0.38094301842471529</v>
      </c>
      <c r="E2242" s="47">
        <v>36027</v>
      </c>
      <c r="F2242" s="48" t="str">
        <f>"PINELOCH ELEMENTARY"</f>
        <v>PINELOCH ELEMENTARY</v>
      </c>
      <c r="G2242" s="47"/>
      <c r="H2242" s="47"/>
      <c r="I2242" s="40"/>
      <c r="J2242" s="40">
        <v>890</v>
      </c>
      <c r="K2242" s="20"/>
      <c r="L2242" s="21"/>
      <c r="M2242" s="110">
        <f>IF(L2242="",I2242,(MIN(J2242,(L2242*1.6*J2242))))</f>
        <v>0</v>
      </c>
      <c r="N2242" s="111">
        <f>IF(M2242=0,0,(M2242/J2242))</f>
        <v>0</v>
      </c>
    </row>
    <row r="2243" spans="2:14">
      <c r="B2243" s="73">
        <v>127681</v>
      </c>
      <c r="C2243" s="23" t="str">
        <f>"ORANGE"</f>
        <v>ORANGE</v>
      </c>
      <c r="D2243" s="123">
        <f>SUMIF(B$3:B$3844,B2243,M$3:M$3844)/(SUMIF(B$3:B$3844,B2243,J$3:J$3844))</f>
        <v>0.38094301842471529</v>
      </c>
      <c r="E2243" s="23">
        <v>204036</v>
      </c>
      <c r="F2243" s="46" t="str">
        <f>"PINEWOOD ELEMENTARY"</f>
        <v>PINEWOOD ELEMENTARY</v>
      </c>
      <c r="G2243" s="23"/>
      <c r="H2243" s="23"/>
      <c r="I2243" s="41"/>
      <c r="J2243" s="41">
        <v>586</v>
      </c>
      <c r="K2243" s="20"/>
      <c r="L2243" s="21"/>
      <c r="M2243" s="110">
        <f>IF(L2243="",I2243,(MIN(J2243,(L2243*1.6*J2243))))</f>
        <v>0</v>
      </c>
      <c r="N2243" s="111">
        <f>IF(M2243=0,0,(M2243/J2243))</f>
        <v>0</v>
      </c>
    </row>
    <row r="2244" spans="2:14">
      <c r="B2244" s="72">
        <v>127681</v>
      </c>
      <c r="C2244" s="47" t="str">
        <f>"ORANGE"</f>
        <v>ORANGE</v>
      </c>
      <c r="D2244" s="123">
        <f>SUMIF(B$3:B$3844,B2244,M$3:M$3844)/(SUMIF(B$3:B$3844,B2244,J$3:J$3844))</f>
        <v>0.38094301842471529</v>
      </c>
      <c r="E2244" s="47">
        <v>36015</v>
      </c>
      <c r="F2244" s="48" t="str">
        <f>"PRINCETON ELEMENTARY"</f>
        <v>PRINCETON ELEMENTARY</v>
      </c>
      <c r="G2244" s="47"/>
      <c r="H2244" s="47"/>
      <c r="I2244" s="40">
        <v>234</v>
      </c>
      <c r="J2244" s="40">
        <v>486</v>
      </c>
      <c r="K2244" s="20"/>
      <c r="L2244" s="21"/>
      <c r="M2244" s="110">
        <f>IF(L2244="",I2244,(MIN(J2244,(L2244*1.6*J2244))))</f>
        <v>234</v>
      </c>
      <c r="N2244" s="111">
        <f>IF(M2244=0,0,(M2244/J2244))</f>
        <v>0.48148148148148145</v>
      </c>
    </row>
    <row r="2245" spans="2:14">
      <c r="B2245" s="73">
        <v>127681</v>
      </c>
      <c r="C2245" s="23" t="str">
        <f>"ORANGE"</f>
        <v>ORANGE</v>
      </c>
      <c r="D2245" s="123">
        <f>SUMIF(B$3:B$3844,B2245,M$3:M$3844)/(SUMIF(B$3:B$3844,B2245,J$3:J$3844))</f>
        <v>0.38094301842471529</v>
      </c>
      <c r="E2245" s="23">
        <v>206009</v>
      </c>
      <c r="F2245" s="46" t="str">
        <f>"PRINCETON HOUSE CHARTER"</f>
        <v>PRINCETON HOUSE CHARTER</v>
      </c>
      <c r="G2245" s="23"/>
      <c r="H2245" s="23"/>
      <c r="I2245" s="41"/>
      <c r="J2245" s="41">
        <v>151</v>
      </c>
      <c r="K2245" s="20"/>
      <c r="L2245" s="21"/>
      <c r="M2245" s="110">
        <f>IF(L2245="",I2245,(MIN(J2245,(L2245*1.6*J2245))))</f>
        <v>0</v>
      </c>
      <c r="N2245" s="111">
        <f>IF(M2245=0,0,(M2245/J2245))</f>
        <v>0</v>
      </c>
    </row>
    <row r="2246" spans="2:14">
      <c r="B2246" s="72">
        <v>127681</v>
      </c>
      <c r="C2246" s="47" t="str">
        <f>"ORANGE"</f>
        <v>ORANGE</v>
      </c>
      <c r="D2246" s="123">
        <f>SUMIF(B$3:B$3844,B2246,M$3:M$3844)/(SUMIF(B$3:B$3844,B2246,J$3:J$3844))</f>
        <v>0.38094301842471529</v>
      </c>
      <c r="E2246" s="47">
        <v>16055848</v>
      </c>
      <c r="F2246" s="48" t="str">
        <f>"PROJECT COMPASS"</f>
        <v>PROJECT COMPASS</v>
      </c>
      <c r="G2246" s="47"/>
      <c r="H2246" s="47"/>
      <c r="I2246" s="40">
        <v>17</v>
      </c>
      <c r="J2246" s="40">
        <v>35</v>
      </c>
      <c r="K2246" s="20"/>
      <c r="L2246" s="21"/>
      <c r="M2246" s="110">
        <f>IF(L2246="",I2246,(MIN(J2246,(L2246*1.6*J2246))))</f>
        <v>17</v>
      </c>
      <c r="N2246" s="111">
        <f>IF(M2246=0,0,(M2246/J2246))</f>
        <v>0.48571428571428571</v>
      </c>
    </row>
    <row r="2247" spans="2:14">
      <c r="B2247" s="73">
        <v>127681</v>
      </c>
      <c r="C2247" s="23" t="str">
        <f>"ORANGE"</f>
        <v>ORANGE</v>
      </c>
      <c r="D2247" s="123">
        <f>SUMIF(B$3:B$3844,B2247,M$3:M$3844)/(SUMIF(B$3:B$3844,B2247,J$3:J$3844))</f>
        <v>0.38094301842471529</v>
      </c>
      <c r="E2247" s="23">
        <v>16045983</v>
      </c>
      <c r="F2247" s="46" t="s">
        <v>2184</v>
      </c>
      <c r="G2247" s="23"/>
      <c r="H2247" s="23"/>
      <c r="I2247" s="41">
        <v>170</v>
      </c>
      <c r="J2247" s="41">
        <v>190</v>
      </c>
      <c r="K2247" s="20"/>
      <c r="L2247" s="21"/>
      <c r="M2247" s="110">
        <f>IF(L2247="",I2247,(MIN(J2247,(L2247*1.6*J2247))))</f>
        <v>170</v>
      </c>
      <c r="N2247" s="111">
        <f>IF(M2247=0,0,(M2247/J2247))</f>
        <v>0.89473684210526316</v>
      </c>
    </row>
    <row r="2248" spans="2:14" ht="30">
      <c r="B2248" s="72">
        <v>127681</v>
      </c>
      <c r="C2248" s="47" t="str">
        <f>"ORANGE"</f>
        <v>ORANGE</v>
      </c>
      <c r="D2248" s="123">
        <f>SUMIF(B$3:B$3844,B2248,M$3:M$3844)/(SUMIF(B$3:B$3844,B2248,J$3:J$3844))</f>
        <v>0.38094301842471529</v>
      </c>
      <c r="E2248" s="47">
        <v>16074263</v>
      </c>
      <c r="F2248" s="48" t="s">
        <v>2185</v>
      </c>
      <c r="G2248" s="47"/>
      <c r="H2248" s="47"/>
      <c r="I2248" s="40">
        <v>1</v>
      </c>
      <c r="J2248" s="40">
        <v>1055</v>
      </c>
      <c r="K2248" s="20"/>
      <c r="L2248" s="21"/>
      <c r="M2248" s="110">
        <f>IF(L2248="",I2248,(MIN(J2248,(L2248*1.6*J2248))))</f>
        <v>1</v>
      </c>
      <c r="N2248" s="111">
        <f>IF(M2248=0,0,(M2248/J2248))</f>
        <v>9.4786729857819908E-4</v>
      </c>
    </row>
    <row r="2249" spans="2:14" ht="30">
      <c r="B2249" s="73">
        <v>127681</v>
      </c>
      <c r="C2249" s="23" t="str">
        <f>"ORANGE"</f>
        <v>ORANGE</v>
      </c>
      <c r="D2249" s="123">
        <f>SUMIF(B$3:B$3844,B2249,M$3:M$3844)/(SUMIF(B$3:B$3844,B2249,J$3:J$3844))</f>
        <v>0.38094301842471529</v>
      </c>
      <c r="E2249" s="23">
        <v>16074259</v>
      </c>
      <c r="F2249" s="46" t="s">
        <v>2186</v>
      </c>
      <c r="G2249" s="23"/>
      <c r="H2249" s="23"/>
      <c r="I2249" s="41">
        <v>2</v>
      </c>
      <c r="J2249" s="41">
        <v>1031</v>
      </c>
      <c r="K2249" s="20"/>
      <c r="L2249" s="21"/>
      <c r="M2249" s="110">
        <f>IF(L2249="",I2249,(MIN(J2249,(L2249*1.6*J2249))))</f>
        <v>2</v>
      </c>
      <c r="N2249" s="111">
        <f>IF(M2249=0,0,(M2249/J2249))</f>
        <v>1.9398642095053346E-3</v>
      </c>
    </row>
    <row r="2250" spans="2:14">
      <c r="B2250" s="72">
        <v>127681</v>
      </c>
      <c r="C2250" s="47" t="str">
        <f>"ORANGE"</f>
        <v>ORANGE</v>
      </c>
      <c r="D2250" s="123">
        <f>SUMIF(B$3:B$3844,B2250,M$3:M$3844)/(SUMIF(B$3:B$3844,B2250,J$3:J$3844))</f>
        <v>0.38094301842471529</v>
      </c>
      <c r="E2250" s="47">
        <v>36055</v>
      </c>
      <c r="F2250" s="48" t="str">
        <f>"RIDGEWOOD PARK ELEMENTARY"</f>
        <v>RIDGEWOOD PARK ELEMENTARY</v>
      </c>
      <c r="G2250" s="47"/>
      <c r="H2250" s="47"/>
      <c r="I2250" s="40"/>
      <c r="J2250" s="40">
        <v>743</v>
      </c>
      <c r="K2250" s="20">
        <v>2014</v>
      </c>
      <c r="L2250" s="21">
        <v>0.71640000000000004</v>
      </c>
      <c r="M2250" s="110">
        <f>IF(L2250="",I2250,(MIN(J2250,(L2250*1.6*J2250))))</f>
        <v>743</v>
      </c>
      <c r="N2250" s="111">
        <f>IF(M2250=0,0,(M2250/J2250))</f>
        <v>1</v>
      </c>
    </row>
    <row r="2251" spans="2:14">
      <c r="B2251" s="73">
        <v>127681</v>
      </c>
      <c r="C2251" s="23" t="str">
        <f>"ORANGE"</f>
        <v>ORANGE</v>
      </c>
      <c r="D2251" s="123">
        <f>SUMIF(B$3:B$3844,B2251,M$3:M$3844)/(SUMIF(B$3:B$3844,B2251,J$3:J$3844))</f>
        <v>0.38094301842471529</v>
      </c>
      <c r="E2251" s="23">
        <v>204037</v>
      </c>
      <c r="F2251" s="46" t="str">
        <f>"RIVERDALE ELEMENTARY"</f>
        <v>RIVERDALE ELEMENTARY</v>
      </c>
      <c r="G2251" s="23"/>
      <c r="H2251" s="23"/>
      <c r="I2251" s="41"/>
      <c r="J2251" s="41">
        <v>640</v>
      </c>
      <c r="K2251" s="20"/>
      <c r="L2251" s="21"/>
      <c r="M2251" s="110">
        <f>IF(L2251="",I2251,(MIN(J2251,(L2251*1.6*J2251))))</f>
        <v>0</v>
      </c>
      <c r="N2251" s="111">
        <f>IF(M2251=0,0,(M2251/J2251))</f>
        <v>0</v>
      </c>
    </row>
    <row r="2252" spans="2:14">
      <c r="B2252" s="72">
        <v>127681</v>
      </c>
      <c r="C2252" s="47" t="str">
        <f>"ORANGE"</f>
        <v>ORANGE</v>
      </c>
      <c r="D2252" s="123">
        <f>SUMIF(B$3:B$3844,B2252,M$3:M$3844)/(SUMIF(B$3:B$3844,B2252,J$3:J$3844))</f>
        <v>0.38094301842471529</v>
      </c>
      <c r="E2252" s="47">
        <v>36079</v>
      </c>
      <c r="F2252" s="48" t="str">
        <f>"RIVERSIDE ELEMENTARY"</f>
        <v>RIVERSIDE ELEMENTARY</v>
      </c>
      <c r="G2252" s="47"/>
      <c r="H2252" s="47"/>
      <c r="I2252" s="40"/>
      <c r="J2252" s="40">
        <v>653</v>
      </c>
      <c r="K2252" s="20"/>
      <c r="L2252" s="21"/>
      <c r="M2252" s="110">
        <f>IF(L2252="",I2252,(MIN(J2252,(L2252*1.6*J2252))))</f>
        <v>0</v>
      </c>
      <c r="N2252" s="111">
        <f>IF(M2252=0,0,(M2252/J2252))</f>
        <v>0</v>
      </c>
    </row>
    <row r="2253" spans="2:14">
      <c r="B2253" s="73">
        <v>127681</v>
      </c>
      <c r="C2253" s="23" t="str">
        <f>"ORANGE"</f>
        <v>ORANGE</v>
      </c>
      <c r="D2253" s="123">
        <f>SUMIF(B$3:B$3844,B2253,M$3:M$3844)/(SUMIF(B$3:B$3844,B2253,J$3:J$3844))</f>
        <v>0.38094301842471529</v>
      </c>
      <c r="E2253" s="23">
        <v>36009</v>
      </c>
      <c r="F2253" s="46" t="str">
        <f>"ROBERT E LEE MIDDLE"</f>
        <v>ROBERT E LEE MIDDLE</v>
      </c>
      <c r="G2253" s="23"/>
      <c r="H2253" s="23"/>
      <c r="I2253" s="41"/>
      <c r="J2253" s="41">
        <v>943</v>
      </c>
      <c r="K2253" s="20"/>
      <c r="L2253" s="21"/>
      <c r="M2253" s="110">
        <f>IF(L2253="",I2253,(MIN(J2253,(L2253*1.6*J2253))))</f>
        <v>0</v>
      </c>
      <c r="N2253" s="111">
        <f>IF(M2253=0,0,(M2253/J2253))</f>
        <v>0</v>
      </c>
    </row>
    <row r="2254" spans="2:14">
      <c r="B2254" s="72">
        <v>127681</v>
      </c>
      <c r="C2254" s="47" t="str">
        <f>"ORANGE"</f>
        <v>ORANGE</v>
      </c>
      <c r="D2254" s="123">
        <f>SUMIF(B$3:B$3844,B2254,M$3:M$3844)/(SUMIF(B$3:B$3844,B2254,J$3:J$3844))</f>
        <v>0.38094301842471529</v>
      </c>
      <c r="E2254" s="47">
        <v>36106</v>
      </c>
      <c r="F2254" s="48" t="str">
        <f>"ROBINSWOOD MIDDLE"</f>
        <v>ROBINSWOOD MIDDLE</v>
      </c>
      <c r="G2254" s="47"/>
      <c r="H2254" s="47"/>
      <c r="I2254" s="40"/>
      <c r="J2254" s="40">
        <v>1374</v>
      </c>
      <c r="K2254" s="20"/>
      <c r="L2254" s="21"/>
      <c r="M2254" s="110">
        <f>IF(L2254="",I2254,(MIN(J2254,(L2254*1.6*J2254))))</f>
        <v>0</v>
      </c>
      <c r="N2254" s="111">
        <f>IF(M2254=0,0,(M2254/J2254))</f>
        <v>0</v>
      </c>
    </row>
    <row r="2255" spans="2:14">
      <c r="B2255" s="73">
        <v>127681</v>
      </c>
      <c r="C2255" s="23" t="str">
        <f>"ORANGE"</f>
        <v>ORANGE</v>
      </c>
      <c r="D2255" s="123">
        <f>SUMIF(B$3:B$3844,B2255,M$3:M$3844)/(SUMIF(B$3:B$3844,B2255,J$3:J$3844))</f>
        <v>0.38094301842471529</v>
      </c>
      <c r="E2255" s="23">
        <v>36016</v>
      </c>
      <c r="F2255" s="46" t="str">
        <f>"ROCK LAKE ELEMENTARY"</f>
        <v>ROCK LAKE ELEMENTARY</v>
      </c>
      <c r="G2255" s="23"/>
      <c r="H2255" s="23"/>
      <c r="I2255" s="41"/>
      <c r="J2255" s="41">
        <v>257</v>
      </c>
      <c r="K2255" s="20">
        <v>2014</v>
      </c>
      <c r="L2255" s="21">
        <v>0.71640000000000004</v>
      </c>
      <c r="M2255" s="110">
        <f>IF(L2255="",I2255,(MIN(J2255,(L2255*1.6*J2255))))</f>
        <v>257</v>
      </c>
      <c r="N2255" s="111">
        <f>IF(M2255=0,0,(M2255/J2255))</f>
        <v>1</v>
      </c>
    </row>
    <row r="2256" spans="2:14">
      <c r="B2256" s="72">
        <v>127681</v>
      </c>
      <c r="C2256" s="47" t="str">
        <f>"ORANGE"</f>
        <v>ORANGE</v>
      </c>
      <c r="D2256" s="123">
        <f>SUMIF(B$3:B$3844,B2256,M$3:M$3844)/(SUMIF(B$3:B$3844,B2256,J$3:J$3844))</f>
        <v>0.38094301842471529</v>
      </c>
      <c r="E2256" s="47">
        <v>35816</v>
      </c>
      <c r="F2256" s="48" t="str">
        <f>"ROCK SPRINGS ELEMENTARY"</f>
        <v>ROCK SPRINGS ELEMENTARY</v>
      </c>
      <c r="G2256" s="47"/>
      <c r="H2256" s="47"/>
      <c r="I2256" s="40">
        <v>552</v>
      </c>
      <c r="J2256" s="40">
        <v>824</v>
      </c>
      <c r="K2256" s="20"/>
      <c r="L2256" s="21"/>
      <c r="M2256" s="110">
        <f>IF(L2256="",I2256,(MIN(J2256,(L2256*1.6*J2256))))</f>
        <v>552</v>
      </c>
      <c r="N2256" s="111">
        <f>IF(M2256=0,0,(M2256/J2256))</f>
        <v>0.66990291262135926</v>
      </c>
    </row>
    <row r="2257" spans="2:14">
      <c r="B2257" s="73">
        <v>127681</v>
      </c>
      <c r="C2257" s="23" t="str">
        <f>"ORANGE"</f>
        <v>ORANGE</v>
      </c>
      <c r="D2257" s="123">
        <f>SUMIF(B$3:B$3844,B2257,M$3:M$3844)/(SUMIF(B$3:B$3844,B2257,J$3:J$3844))</f>
        <v>0.38094301842471529</v>
      </c>
      <c r="E2257" s="23">
        <v>36054</v>
      </c>
      <c r="F2257" s="46" t="str">
        <f>"ROLLING HILLS ELEMENTARY"</f>
        <v>ROLLING HILLS ELEMENTARY</v>
      </c>
      <c r="G2257" s="23"/>
      <c r="H2257" s="23"/>
      <c r="I2257" s="41"/>
      <c r="J2257" s="41">
        <v>663</v>
      </c>
      <c r="K2257" s="20">
        <v>2014</v>
      </c>
      <c r="L2257" s="21">
        <v>0.71640000000000004</v>
      </c>
      <c r="M2257" s="110">
        <f>IF(L2257="",I2257,(MIN(J2257,(L2257*1.6*J2257))))</f>
        <v>663</v>
      </c>
      <c r="N2257" s="111">
        <f>IF(M2257=0,0,(M2257/J2257))</f>
        <v>1</v>
      </c>
    </row>
    <row r="2258" spans="2:14">
      <c r="B2258" s="72">
        <v>127681</v>
      </c>
      <c r="C2258" s="47" t="str">
        <f>"ORANGE"</f>
        <v>ORANGE</v>
      </c>
      <c r="D2258" s="123">
        <f>SUMIF(B$3:B$3844,B2258,M$3:M$3844)/(SUMIF(B$3:B$3844,B2258,J$3:J$3844))</f>
        <v>0.38094301842471529</v>
      </c>
      <c r="E2258" s="47">
        <v>36052</v>
      </c>
      <c r="F2258" s="48" t="str">
        <f>"ROSEMONT ELEMENTARY"</f>
        <v>ROSEMONT ELEMENTARY</v>
      </c>
      <c r="G2258" s="47"/>
      <c r="H2258" s="47"/>
      <c r="I2258" s="40"/>
      <c r="J2258" s="40">
        <v>888</v>
      </c>
      <c r="K2258" s="20">
        <v>2014</v>
      </c>
      <c r="L2258" s="21">
        <v>0.71640000000000004</v>
      </c>
      <c r="M2258" s="110">
        <f>IF(L2258="",I2258,(MIN(J2258,(L2258*1.6*J2258))))</f>
        <v>888</v>
      </c>
      <c r="N2258" s="111">
        <f>IF(M2258=0,0,(M2258/J2258))</f>
        <v>1</v>
      </c>
    </row>
    <row r="2259" spans="2:14">
      <c r="B2259" s="73">
        <v>127681</v>
      </c>
      <c r="C2259" s="23" t="str">
        <f>"ORANGE"</f>
        <v>ORANGE</v>
      </c>
      <c r="D2259" s="123">
        <f>SUMIF(B$3:B$3844,B2259,M$3:M$3844)/(SUMIF(B$3:B$3844,B2259,J$3:J$3844))</f>
        <v>0.38094301842471529</v>
      </c>
      <c r="E2259" s="23">
        <v>36066</v>
      </c>
      <c r="F2259" s="46" t="str">
        <f>"SADLER ELEMENTARY"</f>
        <v>SADLER ELEMENTARY</v>
      </c>
      <c r="G2259" s="23"/>
      <c r="H2259" s="23"/>
      <c r="I2259" s="41"/>
      <c r="J2259" s="41">
        <v>802</v>
      </c>
      <c r="K2259" s="20"/>
      <c r="L2259" s="21"/>
      <c r="M2259" s="110">
        <f>IF(L2259="",I2259,(MIN(J2259,(L2259*1.6*J2259))))</f>
        <v>0</v>
      </c>
      <c r="N2259" s="111">
        <f>IF(M2259=0,0,(M2259/J2259))</f>
        <v>0</v>
      </c>
    </row>
    <row r="2260" spans="2:14">
      <c r="B2260" s="72">
        <v>127681</v>
      </c>
      <c r="C2260" s="47" t="str">
        <f>"ORANGE"</f>
        <v>ORANGE</v>
      </c>
      <c r="D2260" s="123">
        <f>SUMIF(B$3:B$3844,B2260,M$3:M$3844)/(SUMIF(B$3:B$3844,B2260,J$3:J$3844))</f>
        <v>0.38094301842471529</v>
      </c>
      <c r="E2260" s="47">
        <v>16038019</v>
      </c>
      <c r="F2260" s="48" t="str">
        <f>"SAND LAKE ELEMENTARY"</f>
        <v>SAND LAKE ELEMENTARY</v>
      </c>
      <c r="G2260" s="47"/>
      <c r="H2260" s="47"/>
      <c r="I2260" s="40">
        <v>279</v>
      </c>
      <c r="J2260" s="40">
        <v>589</v>
      </c>
      <c r="K2260" s="20"/>
      <c r="L2260" s="21"/>
      <c r="M2260" s="110">
        <f>IF(L2260="",I2260,(MIN(J2260,(L2260*1.6*J2260))))</f>
        <v>279</v>
      </c>
      <c r="N2260" s="111">
        <f>IF(M2260=0,0,(M2260/J2260))</f>
        <v>0.47368421052631576</v>
      </c>
    </row>
    <row r="2261" spans="2:14">
      <c r="B2261" s="73">
        <v>127681</v>
      </c>
      <c r="C2261" s="23" t="str">
        <f>"ORANGE"</f>
        <v>ORANGE</v>
      </c>
      <c r="D2261" s="123">
        <f>SUMIF(B$3:B$3844,B2261,M$3:M$3844)/(SUMIF(B$3:B$3844,B2261,J$3:J$3844))</f>
        <v>0.38094301842471529</v>
      </c>
      <c r="E2261" s="23">
        <v>16050088</v>
      </c>
      <c r="F2261" s="46" t="str">
        <f>"SHEELER HIGH CHARTER"</f>
        <v>SHEELER HIGH CHARTER</v>
      </c>
      <c r="G2261" s="23"/>
      <c r="H2261" s="23"/>
      <c r="I2261" s="41">
        <v>5</v>
      </c>
      <c r="J2261" s="41">
        <v>348</v>
      </c>
      <c r="K2261" s="20"/>
      <c r="L2261" s="21"/>
      <c r="M2261" s="110">
        <f>IF(L2261="",I2261,(MIN(J2261,(L2261*1.6*J2261))))</f>
        <v>5</v>
      </c>
      <c r="N2261" s="111">
        <f>IF(M2261=0,0,(M2261/J2261))</f>
        <v>1.4367816091954023E-2</v>
      </c>
    </row>
    <row r="2262" spans="2:14">
      <c r="B2262" s="72">
        <v>127681</v>
      </c>
      <c r="C2262" s="47" t="str">
        <f>"ORANGE"</f>
        <v>ORANGE</v>
      </c>
      <c r="D2262" s="123">
        <f>SUMIF(B$3:B$3844,B2262,M$3:M$3844)/(SUMIF(B$3:B$3844,B2262,J$3:J$3844))</f>
        <v>0.38094301842471529</v>
      </c>
      <c r="E2262" s="47">
        <v>36088</v>
      </c>
      <c r="F2262" s="48" t="str">
        <f>"SHENANDOAH ELEMENTARY"</f>
        <v>SHENANDOAH ELEMENTARY</v>
      </c>
      <c r="G2262" s="47"/>
      <c r="H2262" s="47"/>
      <c r="I2262" s="40">
        <v>347</v>
      </c>
      <c r="J2262" s="40">
        <v>600</v>
      </c>
      <c r="K2262" s="20"/>
      <c r="L2262" s="21"/>
      <c r="M2262" s="110">
        <f>IF(L2262="",I2262,(MIN(J2262,(L2262*1.6*J2262))))</f>
        <v>347</v>
      </c>
      <c r="N2262" s="111">
        <f>IF(M2262=0,0,(M2262/J2262))</f>
        <v>0.57833333333333337</v>
      </c>
    </row>
    <row r="2263" spans="2:14">
      <c r="B2263" s="73">
        <v>127681</v>
      </c>
      <c r="C2263" s="23" t="str">
        <f>"ORANGE"</f>
        <v>ORANGE</v>
      </c>
      <c r="D2263" s="123">
        <f>SUMIF(B$3:B$3844,B2263,M$3:M$3844)/(SUMIF(B$3:B$3844,B2263,J$3:J$3844))</f>
        <v>0.38094301842471529</v>
      </c>
      <c r="E2263" s="23">
        <v>36160</v>
      </c>
      <c r="F2263" s="46" t="str">
        <f>"SHINGLE CREEK ELEMENTARY"</f>
        <v>SHINGLE CREEK ELEMENTARY</v>
      </c>
      <c r="G2263" s="23"/>
      <c r="H2263" s="23"/>
      <c r="I2263" s="41"/>
      <c r="J2263" s="41">
        <v>1132</v>
      </c>
      <c r="K2263" s="20"/>
      <c r="L2263" s="21"/>
      <c r="M2263" s="110">
        <f>IF(L2263="",I2263,(MIN(J2263,(L2263*1.6*J2263))))</f>
        <v>0</v>
      </c>
      <c r="N2263" s="111">
        <f>IF(M2263=0,0,(M2263/J2263))</f>
        <v>0</v>
      </c>
    </row>
    <row r="2264" spans="2:14">
      <c r="B2264" s="72">
        <v>127681</v>
      </c>
      <c r="C2264" s="47" t="str">
        <f>"ORANGE"</f>
        <v>ORANGE</v>
      </c>
      <c r="D2264" s="123">
        <f>SUMIF(B$3:B$3844,B2264,M$3:M$3844)/(SUMIF(B$3:B$3844,B2264,J$3:J$3844))</f>
        <v>0.38094301842471529</v>
      </c>
      <c r="E2264" s="47">
        <v>36008</v>
      </c>
      <c r="F2264" s="48" t="str">
        <f>"SILVER STAR CENTER"</f>
        <v>SILVER STAR CENTER</v>
      </c>
      <c r="G2264" s="47"/>
      <c r="H2264" s="47"/>
      <c r="I2264" s="40">
        <v>16</v>
      </c>
      <c r="J2264" s="40">
        <v>18</v>
      </c>
      <c r="K2264" s="20"/>
      <c r="L2264" s="21"/>
      <c r="M2264" s="110">
        <f>IF(L2264="",I2264,(MIN(J2264,(L2264*1.6*J2264))))</f>
        <v>16</v>
      </c>
      <c r="N2264" s="111">
        <f>IF(M2264=0,0,(M2264/J2264))</f>
        <v>0.88888888888888884</v>
      </c>
    </row>
    <row r="2265" spans="2:14">
      <c r="B2265" s="73">
        <v>127681</v>
      </c>
      <c r="C2265" s="23" t="str">
        <f>"ORANGE"</f>
        <v>ORANGE</v>
      </c>
      <c r="D2265" s="123">
        <f>SUMIF(B$3:B$3844,B2265,M$3:M$3844)/(SUMIF(B$3:B$3844,B2265,J$3:J$3844))</f>
        <v>0.38094301842471529</v>
      </c>
      <c r="E2265" s="23">
        <v>16055844</v>
      </c>
      <c r="F2265" s="46" t="s">
        <v>2187</v>
      </c>
      <c r="G2265" s="23"/>
      <c r="H2265" s="23"/>
      <c r="I2265" s="41">
        <v>12</v>
      </c>
      <c r="J2265" s="41">
        <v>23</v>
      </c>
      <c r="K2265" s="20"/>
      <c r="L2265" s="21"/>
      <c r="M2265" s="110">
        <f>IF(L2265="",I2265,(MIN(J2265,(L2265*1.6*J2265))))</f>
        <v>12</v>
      </c>
      <c r="N2265" s="111">
        <f>IF(M2265=0,0,(M2265/J2265))</f>
        <v>0.52173913043478259</v>
      </c>
    </row>
    <row r="2266" spans="2:14">
      <c r="B2266" s="72">
        <v>127681</v>
      </c>
      <c r="C2266" s="47" t="str">
        <f>"ORANGE"</f>
        <v>ORANGE</v>
      </c>
      <c r="D2266" s="123">
        <f>SUMIF(B$3:B$3844,B2266,M$3:M$3844)/(SUMIF(B$3:B$3844,B2266,J$3:J$3844))</f>
        <v>0.38094301842471529</v>
      </c>
      <c r="E2266" s="47">
        <v>16038012</v>
      </c>
      <c r="F2266" s="48" t="str">
        <f>"SOUTH CREEK MIDDLE"</f>
        <v>SOUTH CREEK MIDDLE</v>
      </c>
      <c r="G2266" s="47"/>
      <c r="H2266" s="47"/>
      <c r="I2266" s="40"/>
      <c r="J2266" s="40">
        <v>1005</v>
      </c>
      <c r="K2266" s="20"/>
      <c r="L2266" s="21"/>
      <c r="M2266" s="110">
        <f>IF(L2266="",I2266,(MIN(J2266,(L2266*1.6*J2266))))</f>
        <v>0</v>
      </c>
      <c r="N2266" s="111">
        <f>IF(M2266=0,0,(M2266/J2266))</f>
        <v>0</v>
      </c>
    </row>
    <row r="2267" spans="2:14">
      <c r="B2267" s="73">
        <v>127681</v>
      </c>
      <c r="C2267" s="23" t="str">
        <f>"ORANGE"</f>
        <v>ORANGE</v>
      </c>
      <c r="D2267" s="123">
        <f>SUMIF(B$3:B$3844,B2267,M$3:M$3844)/(SUMIF(B$3:B$3844,B2267,J$3:J$3844))</f>
        <v>0.38094301842471529</v>
      </c>
      <c r="E2267" s="23">
        <v>36110</v>
      </c>
      <c r="F2267" s="46" t="str">
        <f>"SOUTHWEST MIDDLE"</f>
        <v>SOUTHWEST MIDDLE</v>
      </c>
      <c r="G2267" s="23"/>
      <c r="H2267" s="23"/>
      <c r="I2267" s="41">
        <v>710</v>
      </c>
      <c r="J2267" s="41">
        <v>1340</v>
      </c>
      <c r="K2267" s="20"/>
      <c r="L2267" s="21"/>
      <c r="M2267" s="110">
        <f>IF(L2267="",I2267,(MIN(J2267,(L2267*1.6*J2267))))</f>
        <v>710</v>
      </c>
      <c r="N2267" s="111">
        <f>IF(M2267=0,0,(M2267/J2267))</f>
        <v>0.52985074626865669</v>
      </c>
    </row>
    <row r="2268" spans="2:14">
      <c r="B2268" s="72">
        <v>127681</v>
      </c>
      <c r="C2268" s="47" t="str">
        <f>"ORANGE"</f>
        <v>ORANGE</v>
      </c>
      <c r="D2268" s="123">
        <f>SUMIF(B$3:B$3844,B2268,M$3:M$3844)/(SUMIF(B$3:B$3844,B2268,J$3:J$3844))</f>
        <v>0.38094301842471529</v>
      </c>
      <c r="E2268" s="47">
        <v>36126</v>
      </c>
      <c r="F2268" s="48" t="str">
        <f>"SOUTHWOOD ELEMENTARY"</f>
        <v>SOUTHWOOD ELEMENTARY</v>
      </c>
      <c r="G2268" s="47"/>
      <c r="H2268" s="47"/>
      <c r="I2268" s="40">
        <v>412</v>
      </c>
      <c r="J2268" s="40">
        <v>533</v>
      </c>
      <c r="K2268" s="20"/>
      <c r="L2268" s="21"/>
      <c r="M2268" s="110">
        <f>IF(L2268="",I2268,(MIN(J2268,(L2268*1.6*J2268))))</f>
        <v>412</v>
      </c>
      <c r="N2268" s="111">
        <f>IF(M2268=0,0,(M2268/J2268))</f>
        <v>0.77298311444652912</v>
      </c>
    </row>
    <row r="2269" spans="2:14">
      <c r="B2269" s="73">
        <v>127681</v>
      </c>
      <c r="C2269" s="23" t="str">
        <f>"ORANGE"</f>
        <v>ORANGE</v>
      </c>
      <c r="D2269" s="123">
        <f>SUMIF(B$3:B$3844,B2269,M$3:M$3844)/(SUMIF(B$3:B$3844,B2269,J$3:J$3844))</f>
        <v>0.38094301842471529</v>
      </c>
      <c r="E2269" s="23">
        <v>38770</v>
      </c>
      <c r="F2269" s="46" t="str">
        <f>"SPRING LAKE ELEMENTARY"</f>
        <v>SPRING LAKE ELEMENTARY</v>
      </c>
      <c r="G2269" s="23"/>
      <c r="H2269" s="23"/>
      <c r="I2269" s="41"/>
      <c r="J2269" s="41">
        <v>650</v>
      </c>
      <c r="K2269" s="20"/>
      <c r="L2269" s="21"/>
      <c r="M2269" s="110">
        <f>IF(L2269="",I2269,(MIN(J2269,(L2269*1.6*J2269))))</f>
        <v>0</v>
      </c>
      <c r="N2269" s="111">
        <f>IF(M2269=0,0,(M2269/J2269))</f>
        <v>0</v>
      </c>
    </row>
    <row r="2270" spans="2:14">
      <c r="B2270" s="72">
        <v>127681</v>
      </c>
      <c r="C2270" s="47" t="str">
        <f>"ORANGE"</f>
        <v>ORANGE</v>
      </c>
      <c r="D2270" s="123">
        <f>SUMIF(B$3:B$3844,B2270,M$3:M$3844)/(SUMIF(B$3:B$3844,B2270,J$3:J$3844))</f>
        <v>0.38094301842471529</v>
      </c>
      <c r="E2270" s="47">
        <v>16038018</v>
      </c>
      <c r="F2270" s="48" t="str">
        <f>"STONE LAKES ELEMENTARY"</f>
        <v>STONE LAKES ELEMENTARY</v>
      </c>
      <c r="G2270" s="47"/>
      <c r="H2270" s="47"/>
      <c r="I2270" s="40">
        <v>300</v>
      </c>
      <c r="J2270" s="40">
        <v>972</v>
      </c>
      <c r="K2270" s="20"/>
      <c r="L2270" s="21"/>
      <c r="M2270" s="110">
        <f>IF(L2270="",I2270,(MIN(J2270,(L2270*1.6*J2270))))</f>
        <v>300</v>
      </c>
      <c r="N2270" s="111">
        <f>IF(M2270=0,0,(M2270/J2270))</f>
        <v>0.30864197530864196</v>
      </c>
    </row>
    <row r="2271" spans="2:14">
      <c r="B2271" s="73">
        <v>127681</v>
      </c>
      <c r="C2271" s="23" t="str">
        <f>"ORANGE"</f>
        <v>ORANGE</v>
      </c>
      <c r="D2271" s="123">
        <f>SUMIF(B$3:B$3844,B2271,M$3:M$3844)/(SUMIF(B$3:B$3844,B2271,J$3:J$3844))</f>
        <v>0.38094301842471529</v>
      </c>
      <c r="E2271" s="23">
        <v>36041</v>
      </c>
      <c r="F2271" s="46" t="str">
        <f>"STONEWALL JACKSON MIDDLE"</f>
        <v>STONEWALL JACKSON MIDDLE</v>
      </c>
      <c r="G2271" s="23"/>
      <c r="H2271" s="23"/>
      <c r="I2271" s="41"/>
      <c r="J2271" s="41">
        <v>1127</v>
      </c>
      <c r="K2271" s="20"/>
      <c r="L2271" s="21"/>
      <c r="M2271" s="110">
        <f>IF(L2271="",I2271,(MIN(J2271,(L2271*1.6*J2271))))</f>
        <v>0</v>
      </c>
      <c r="N2271" s="111">
        <f>IF(M2271=0,0,(M2271/J2271))</f>
        <v>0</v>
      </c>
    </row>
    <row r="2272" spans="2:14">
      <c r="B2272" s="72">
        <v>127681</v>
      </c>
      <c r="C2272" s="47" t="str">
        <f>"ORANGE"</f>
        <v>ORANGE</v>
      </c>
      <c r="D2272" s="123">
        <f>SUMIF(B$3:B$3844,B2272,M$3:M$3844)/(SUMIF(B$3:B$3844,B2272,J$3:J$3844))</f>
        <v>0.38094301842471529</v>
      </c>
      <c r="E2272" s="47">
        <v>16072318</v>
      </c>
      <c r="F2272" s="48" t="str">
        <f>"SUN BLAZE ELEMENTARY"</f>
        <v>SUN BLAZE ELEMENTARY</v>
      </c>
      <c r="G2272" s="47"/>
      <c r="H2272" s="47"/>
      <c r="I2272" s="40">
        <v>433</v>
      </c>
      <c r="J2272" s="40">
        <v>896</v>
      </c>
      <c r="K2272" s="20"/>
      <c r="L2272" s="21"/>
      <c r="M2272" s="110">
        <f>IF(L2272="",I2272,(MIN(J2272,(L2272*1.6*J2272))))</f>
        <v>433</v>
      </c>
      <c r="N2272" s="111">
        <f>IF(M2272=0,0,(M2272/J2272))</f>
        <v>0.48325892857142855</v>
      </c>
    </row>
    <row r="2273" spans="2:14">
      <c r="B2273" s="73">
        <v>127681</v>
      </c>
      <c r="C2273" s="23" t="str">
        <f>"ORANGE"</f>
        <v>ORANGE</v>
      </c>
      <c r="D2273" s="123">
        <f>SUMIF(B$3:B$3844,B2273,M$3:M$3844)/(SUMIF(B$3:B$3844,B2273,J$3:J$3844))</f>
        <v>0.38094301842471529</v>
      </c>
      <c r="E2273" s="23">
        <v>16072314</v>
      </c>
      <c r="F2273" s="46" t="str">
        <f>"SUNRIDGE ELEMENTARY"</f>
        <v>SUNRIDGE ELEMENTARY</v>
      </c>
      <c r="G2273" s="23"/>
      <c r="H2273" s="23"/>
      <c r="I2273" s="41">
        <v>430</v>
      </c>
      <c r="J2273" s="41">
        <v>728</v>
      </c>
      <c r="K2273" s="20"/>
      <c r="L2273" s="21"/>
      <c r="M2273" s="110">
        <f>IF(L2273="",I2273,(MIN(J2273,(L2273*1.6*J2273))))</f>
        <v>430</v>
      </c>
      <c r="N2273" s="111">
        <f>IF(M2273=0,0,(M2273/J2273))</f>
        <v>0.59065934065934067</v>
      </c>
    </row>
    <row r="2274" spans="2:14">
      <c r="B2274" s="72">
        <v>127681</v>
      </c>
      <c r="C2274" s="47" t="str">
        <f>"ORANGE"</f>
        <v>ORANGE</v>
      </c>
      <c r="D2274" s="123">
        <f>SUMIF(B$3:B$3844,B2274,M$3:M$3844)/(SUMIF(B$3:B$3844,B2274,J$3:J$3844))</f>
        <v>0.38094301842471529</v>
      </c>
      <c r="E2274" s="47">
        <v>16072316</v>
      </c>
      <c r="F2274" s="48" t="str">
        <f>"SUNRIDGE MIDDLE"</f>
        <v>SUNRIDGE MIDDLE</v>
      </c>
      <c r="G2274" s="47"/>
      <c r="H2274" s="47"/>
      <c r="I2274" s="40">
        <v>380</v>
      </c>
      <c r="J2274" s="40">
        <v>1257</v>
      </c>
      <c r="K2274" s="20"/>
      <c r="L2274" s="21"/>
      <c r="M2274" s="110">
        <f>IF(L2274="",I2274,(MIN(J2274,(L2274*1.6*J2274))))</f>
        <v>380</v>
      </c>
      <c r="N2274" s="111">
        <f>IF(M2274=0,0,(M2274/J2274))</f>
        <v>0.30230708035003978</v>
      </c>
    </row>
    <row r="2275" spans="2:14">
      <c r="B2275" s="73">
        <v>127681</v>
      </c>
      <c r="C2275" s="23" t="str">
        <f>"ORANGE"</f>
        <v>ORANGE</v>
      </c>
      <c r="D2275" s="123">
        <f>SUMIF(B$3:B$3844,B2275,M$3:M$3844)/(SUMIF(B$3:B$3844,B2275,J$3:J$3844))</f>
        <v>0.38094301842471529</v>
      </c>
      <c r="E2275" s="23">
        <v>35992</v>
      </c>
      <c r="F2275" s="46" t="str">
        <f>"SUNRISE ELEMENTARY"</f>
        <v>SUNRISE ELEMENTARY</v>
      </c>
      <c r="G2275" s="23"/>
      <c r="H2275" s="23"/>
      <c r="I2275" s="41">
        <v>110</v>
      </c>
      <c r="J2275" s="41">
        <v>476</v>
      </c>
      <c r="K2275" s="20"/>
      <c r="L2275" s="21"/>
      <c r="M2275" s="110">
        <f>IF(L2275="",I2275,(MIN(J2275,(L2275*1.6*J2275))))</f>
        <v>110</v>
      </c>
      <c r="N2275" s="111">
        <f>IF(M2275=0,0,(M2275/J2275))</f>
        <v>0.23109243697478993</v>
      </c>
    </row>
    <row r="2276" spans="2:14">
      <c r="B2276" s="72">
        <v>127681</v>
      </c>
      <c r="C2276" s="47" t="str">
        <f>"ORANGE"</f>
        <v>ORANGE</v>
      </c>
      <c r="D2276" s="123">
        <f>SUMIF(B$3:B$3844,B2276,M$3:M$3844)/(SUMIF(B$3:B$3844,B2276,J$3:J$3844))</f>
        <v>0.38094301842471529</v>
      </c>
      <c r="E2276" s="47">
        <v>16045319</v>
      </c>
      <c r="F2276" s="48" t="str">
        <f>"SUNSET PARK ELEMENTARY"</f>
        <v>SUNSET PARK ELEMENTARY</v>
      </c>
      <c r="G2276" s="47"/>
      <c r="H2276" s="47"/>
      <c r="I2276" s="40">
        <v>316</v>
      </c>
      <c r="J2276" s="40">
        <v>1205</v>
      </c>
      <c r="K2276" s="20"/>
      <c r="L2276" s="21"/>
      <c r="M2276" s="110">
        <f>IF(L2276="",I2276,(MIN(J2276,(L2276*1.6*J2276))))</f>
        <v>316</v>
      </c>
      <c r="N2276" s="111">
        <f>IF(M2276=0,0,(M2276/J2276))</f>
        <v>0.26224066390041495</v>
      </c>
    </row>
    <row r="2277" spans="2:14">
      <c r="B2277" s="73">
        <v>127681</v>
      </c>
      <c r="C2277" s="23" t="str">
        <f>"ORANGE"</f>
        <v>ORANGE</v>
      </c>
      <c r="D2277" s="123">
        <f>SUMIF(B$3:B$3844,B2277,M$3:M$3844)/(SUMIF(B$3:B$3844,B2277,J$3:J$3844))</f>
        <v>0.38094301842471529</v>
      </c>
      <c r="E2277" s="23">
        <v>16074128</v>
      </c>
      <c r="F2277" s="46" t="str">
        <f>"SUNSHINE HIGH CHARTER"</f>
        <v>SUNSHINE HIGH CHARTER</v>
      </c>
      <c r="G2277" s="23"/>
      <c r="H2277" s="23"/>
      <c r="I2277" s="41"/>
      <c r="J2277" s="41">
        <v>556</v>
      </c>
      <c r="K2277" s="20"/>
      <c r="L2277" s="21"/>
      <c r="M2277" s="110">
        <f>IF(L2277="",I2277,(MIN(J2277,(L2277*1.6*J2277))))</f>
        <v>0</v>
      </c>
      <c r="N2277" s="111">
        <f>IF(M2277=0,0,(M2277/J2277))</f>
        <v>0</v>
      </c>
    </row>
    <row r="2278" spans="2:14">
      <c r="B2278" s="72">
        <v>127681</v>
      </c>
      <c r="C2278" s="47" t="str">
        <f>"ORANGE"</f>
        <v>ORANGE</v>
      </c>
      <c r="D2278" s="123">
        <f>SUMIF(B$3:B$3844,B2278,M$3:M$3844)/(SUMIF(B$3:B$3844,B2278,J$3:J$3844))</f>
        <v>0.38094301842471529</v>
      </c>
      <c r="E2278" s="47">
        <v>36118</v>
      </c>
      <c r="F2278" s="48" t="str">
        <f>"TANGELO PARK ELEMENTARY"</f>
        <v>TANGELO PARK ELEMENTARY</v>
      </c>
      <c r="G2278" s="47"/>
      <c r="H2278" s="47"/>
      <c r="I2278" s="40"/>
      <c r="J2278" s="40">
        <v>432</v>
      </c>
      <c r="K2278" s="20"/>
      <c r="L2278" s="21"/>
      <c r="M2278" s="110">
        <f>IF(L2278="",I2278,(MIN(J2278,(L2278*1.6*J2278))))</f>
        <v>0</v>
      </c>
      <c r="N2278" s="111">
        <f>IF(M2278=0,0,(M2278/J2278))</f>
        <v>0</v>
      </c>
    </row>
    <row r="2279" spans="2:14">
      <c r="B2279" s="73">
        <v>127681</v>
      </c>
      <c r="C2279" s="23" t="str">
        <f>"ORANGE"</f>
        <v>ORANGE</v>
      </c>
      <c r="D2279" s="123">
        <f>SUMIF(B$3:B$3844,B2279,M$3:M$3844)/(SUMIF(B$3:B$3844,B2279,J$3:J$3844))</f>
        <v>0.38094301842471529</v>
      </c>
      <c r="E2279" s="23">
        <v>232030</v>
      </c>
      <c r="F2279" s="46" t="str">
        <f>"THORNEBROOKE ELEMENTARY"</f>
        <v>THORNEBROOKE ELEMENTARY</v>
      </c>
      <c r="G2279" s="23"/>
      <c r="H2279" s="23"/>
      <c r="I2279" s="41">
        <v>209</v>
      </c>
      <c r="J2279" s="41">
        <v>757</v>
      </c>
      <c r="K2279" s="20"/>
      <c r="L2279" s="21"/>
      <c r="M2279" s="110">
        <f>IF(L2279="",I2279,(MIN(J2279,(L2279*1.6*J2279))))</f>
        <v>209</v>
      </c>
      <c r="N2279" s="111">
        <f>IF(M2279=0,0,(M2279/J2279))</f>
        <v>0.2760898282694848</v>
      </c>
    </row>
    <row r="2280" spans="2:14">
      <c r="B2280" s="72">
        <v>127681</v>
      </c>
      <c r="C2280" s="47" t="str">
        <f>"ORANGE"</f>
        <v>ORANGE</v>
      </c>
      <c r="D2280" s="123">
        <f>SUMIF(B$3:B$3844,B2280,M$3:M$3844)/(SUMIF(B$3:B$3844,B2280,J$3:J$3844))</f>
        <v>0.38094301842471529</v>
      </c>
      <c r="E2280" s="47">
        <v>229027</v>
      </c>
      <c r="F2280" s="48" t="str">
        <f>"THREE POINTS ELEMENTARY"</f>
        <v>THREE POINTS ELEMENTARY</v>
      </c>
      <c r="G2280" s="47"/>
      <c r="H2280" s="47"/>
      <c r="I2280" s="40"/>
      <c r="J2280" s="40">
        <v>617</v>
      </c>
      <c r="K2280" s="20">
        <v>2015</v>
      </c>
      <c r="L2280" s="21">
        <v>0.66090000000000004</v>
      </c>
      <c r="M2280" s="110">
        <f>IF(L2280="",I2280,(MIN(J2280,(L2280*1.6*J2280))))</f>
        <v>617</v>
      </c>
      <c r="N2280" s="111">
        <f>IF(M2280=0,0,(M2280/J2280))</f>
        <v>1</v>
      </c>
    </row>
    <row r="2281" spans="2:14">
      <c r="B2281" s="73">
        <v>127681</v>
      </c>
      <c r="C2281" s="23" t="str">
        <f>"ORANGE"</f>
        <v>ORANGE</v>
      </c>
      <c r="D2281" s="123">
        <f>SUMIF(B$3:B$3844,B2281,M$3:M$3844)/(SUMIF(B$3:B$3844,B2281,J$3:J$3844))</f>
        <v>0.38094301842471529</v>
      </c>
      <c r="E2281" s="23">
        <v>38789</v>
      </c>
      <c r="F2281" s="46" t="str">
        <f>"TILDENVILLE ELEMENTARY"</f>
        <v>TILDENVILLE ELEMENTARY</v>
      </c>
      <c r="G2281" s="23"/>
      <c r="H2281" s="23"/>
      <c r="I2281" s="41">
        <v>367</v>
      </c>
      <c r="J2281" s="41">
        <v>567</v>
      </c>
      <c r="K2281" s="20"/>
      <c r="L2281" s="21"/>
      <c r="M2281" s="110">
        <f>IF(L2281="",I2281,(MIN(J2281,(L2281*1.6*J2281))))</f>
        <v>367</v>
      </c>
      <c r="N2281" s="111">
        <f>IF(M2281=0,0,(M2281/J2281))</f>
        <v>0.64726631393298062</v>
      </c>
    </row>
    <row r="2282" spans="2:14">
      <c r="B2282" s="72">
        <v>127681</v>
      </c>
      <c r="C2282" s="47" t="str">
        <f>"ORANGE"</f>
        <v>ORANGE</v>
      </c>
      <c r="D2282" s="123">
        <f>SUMIF(B$3:B$3844,B2282,M$3:M$3844)/(SUMIF(B$3:B$3844,B2282,J$3:J$3844))</f>
        <v>0.38094301842471529</v>
      </c>
      <c r="E2282" s="47">
        <v>229030</v>
      </c>
      <c r="F2282" s="48" t="str">
        <f>"TIMBER CREEK HIGH"</f>
        <v>TIMBER CREEK HIGH</v>
      </c>
      <c r="G2282" s="47"/>
      <c r="H2282" s="47"/>
      <c r="I2282" s="40">
        <v>1074</v>
      </c>
      <c r="J2282" s="40">
        <v>3270</v>
      </c>
      <c r="K2282" s="20"/>
      <c r="L2282" s="21"/>
      <c r="M2282" s="110">
        <f>IF(L2282="",I2282,(MIN(J2282,(L2282*1.6*J2282))))</f>
        <v>1074</v>
      </c>
      <c r="N2282" s="111">
        <f>IF(M2282=0,0,(M2282/J2282))</f>
        <v>0.32844036697247708</v>
      </c>
    </row>
    <row r="2283" spans="2:14">
      <c r="B2283" s="73">
        <v>127681</v>
      </c>
      <c r="C2283" s="23" t="str">
        <f>"ORANGE"</f>
        <v>ORANGE</v>
      </c>
      <c r="D2283" s="123">
        <f>SUMIF(B$3:B$3844,B2283,M$3:M$3844)/(SUMIF(B$3:B$3844,B2283,J$3:J$3844))</f>
        <v>0.38094301842471529</v>
      </c>
      <c r="E2283" s="23">
        <v>16049217</v>
      </c>
      <c r="F2283" s="46" t="str">
        <f>"TIMBER LAKES ELEMENTARY"</f>
        <v>TIMBER LAKES ELEMENTARY</v>
      </c>
      <c r="G2283" s="23"/>
      <c r="H2283" s="23"/>
      <c r="I2283" s="41">
        <v>359</v>
      </c>
      <c r="J2283" s="41">
        <v>902</v>
      </c>
      <c r="K2283" s="20"/>
      <c r="L2283" s="21"/>
      <c r="M2283" s="110">
        <f>IF(L2283="",I2283,(MIN(J2283,(L2283*1.6*J2283))))</f>
        <v>359</v>
      </c>
      <c r="N2283" s="111">
        <f>IF(M2283=0,0,(M2283/J2283))</f>
        <v>0.39800443458980045</v>
      </c>
    </row>
    <row r="2284" spans="2:14">
      <c r="B2284" s="72">
        <v>127681</v>
      </c>
      <c r="C2284" s="47" t="str">
        <f>"ORANGE"</f>
        <v>ORANGE</v>
      </c>
      <c r="D2284" s="123">
        <f>SUMIF(B$3:B$3844,B2284,M$3:M$3844)/(SUMIF(B$3:B$3844,B2284,J$3:J$3844))</f>
        <v>0.38094301842471529</v>
      </c>
      <c r="E2284" s="47">
        <v>16055841</v>
      </c>
      <c r="F2284" s="48" t="str">
        <f>"TRANSITION CENTER"</f>
        <v>TRANSITION CENTER</v>
      </c>
      <c r="G2284" s="47"/>
      <c r="H2284" s="47"/>
      <c r="I2284" s="40">
        <v>231</v>
      </c>
      <c r="J2284" s="40">
        <v>273</v>
      </c>
      <c r="K2284" s="20"/>
      <c r="L2284" s="21"/>
      <c r="M2284" s="110">
        <f>IF(L2284="",I2284,(MIN(J2284,(L2284*1.6*J2284))))</f>
        <v>231</v>
      </c>
      <c r="N2284" s="111">
        <f>IF(M2284=0,0,(M2284/J2284))</f>
        <v>0.84615384615384615</v>
      </c>
    </row>
    <row r="2285" spans="2:14">
      <c r="B2285" s="73">
        <v>127681</v>
      </c>
      <c r="C2285" s="23" t="str">
        <f>"ORANGE"</f>
        <v>ORANGE</v>
      </c>
      <c r="D2285" s="123">
        <f>SUMIF(B$3:B$3844,B2285,M$3:M$3844)/(SUMIF(B$3:B$3844,B2285,J$3:J$3844))</f>
        <v>0.38094301842471529</v>
      </c>
      <c r="E2285" s="23">
        <v>16024696</v>
      </c>
      <c r="F2285" s="46" t="str">
        <f>"UCP CHARTER"</f>
        <v>UCP CHARTER</v>
      </c>
      <c r="G2285" s="23"/>
      <c r="H2285" s="23"/>
      <c r="I2285" s="41">
        <v>109</v>
      </c>
      <c r="J2285" s="41">
        <v>154</v>
      </c>
      <c r="K2285" s="20"/>
      <c r="L2285" s="21"/>
      <c r="M2285" s="110">
        <f>IF(L2285="",I2285,(MIN(J2285,(L2285*1.6*J2285))))</f>
        <v>109</v>
      </c>
      <c r="N2285" s="111">
        <f>IF(M2285=0,0,(M2285/J2285))</f>
        <v>0.70779220779220775</v>
      </c>
    </row>
    <row r="2286" spans="2:14" ht="30">
      <c r="B2286" s="72">
        <v>127681</v>
      </c>
      <c r="C2286" s="47" t="str">
        <f>"ORANGE"</f>
        <v>ORANGE</v>
      </c>
      <c r="D2286" s="123">
        <f>SUMIF(B$3:B$3844,B2286,M$3:M$3844)/(SUMIF(B$3:B$3844,B2286,J$3:J$3844))</f>
        <v>0.38094301842471529</v>
      </c>
      <c r="E2286" s="47">
        <v>16068853</v>
      </c>
      <c r="F2286" s="48" t="s">
        <v>2188</v>
      </c>
      <c r="G2286" s="47"/>
      <c r="H2286" s="47"/>
      <c r="I2286" s="40">
        <v>31</v>
      </c>
      <c r="J2286" s="40">
        <v>65</v>
      </c>
      <c r="K2286" s="20"/>
      <c r="L2286" s="21"/>
      <c r="M2286" s="110">
        <f>IF(L2286="",I2286,(MIN(J2286,(L2286*1.6*J2286))))</f>
        <v>31</v>
      </c>
      <c r="N2286" s="111">
        <f>IF(M2286=0,0,(M2286/J2286))</f>
        <v>0.47692307692307695</v>
      </c>
    </row>
    <row r="2287" spans="2:14">
      <c r="B2287" s="73">
        <v>127681</v>
      </c>
      <c r="C2287" s="23" t="str">
        <f>"ORANGE"</f>
        <v>ORANGE</v>
      </c>
      <c r="D2287" s="123">
        <f>SUMIF(B$3:B$3844,B2287,M$3:M$3844)/(SUMIF(B$3:B$3844,B2287,J$3:J$3844))</f>
        <v>0.38094301842471529</v>
      </c>
      <c r="E2287" s="23">
        <v>36134</v>
      </c>
      <c r="F2287" s="46" t="str">
        <f>"UNION PARK ELEMENTARY"</f>
        <v>UNION PARK ELEMENTARY</v>
      </c>
      <c r="G2287" s="23"/>
      <c r="H2287" s="23"/>
      <c r="I2287" s="41"/>
      <c r="J2287" s="41">
        <v>454</v>
      </c>
      <c r="K2287" s="20"/>
      <c r="L2287" s="21"/>
      <c r="M2287" s="110">
        <f>IF(L2287="",I2287,(MIN(J2287,(L2287*1.6*J2287))))</f>
        <v>0</v>
      </c>
      <c r="N2287" s="111">
        <f>IF(M2287=0,0,(M2287/J2287))</f>
        <v>0</v>
      </c>
    </row>
    <row r="2288" spans="2:14">
      <c r="B2288" s="72">
        <v>127681</v>
      </c>
      <c r="C2288" s="47" t="str">
        <f>"ORANGE"</f>
        <v>ORANGE</v>
      </c>
      <c r="D2288" s="123">
        <f>SUMIF(B$3:B$3844,B2288,M$3:M$3844)/(SUMIF(B$3:B$3844,B2288,J$3:J$3844))</f>
        <v>0.38094301842471529</v>
      </c>
      <c r="E2288" s="47">
        <v>36097</v>
      </c>
      <c r="F2288" s="48" t="str">
        <f>"UNION PARK MIDDLE"</f>
        <v>UNION PARK MIDDLE</v>
      </c>
      <c r="G2288" s="47"/>
      <c r="H2288" s="47"/>
      <c r="I2288" s="40"/>
      <c r="J2288" s="40">
        <v>825</v>
      </c>
      <c r="K2288" s="20"/>
      <c r="L2288" s="21"/>
      <c r="M2288" s="110">
        <f>IF(L2288="",I2288,(MIN(J2288,(L2288*1.6*J2288))))</f>
        <v>0</v>
      </c>
      <c r="N2288" s="111">
        <f>IF(M2288=0,0,(M2288/J2288))</f>
        <v>0</v>
      </c>
    </row>
    <row r="2289" spans="2:14">
      <c r="B2289" s="73">
        <v>127681</v>
      </c>
      <c r="C2289" s="23" t="str">
        <f>"ORANGE"</f>
        <v>ORANGE</v>
      </c>
      <c r="D2289" s="123">
        <f>SUMIF(B$3:B$3844,B2289,M$3:M$3844)/(SUMIF(B$3:B$3844,B2289,J$3:J$3844))</f>
        <v>0.38094301842471529</v>
      </c>
      <c r="E2289" s="23">
        <v>36117</v>
      </c>
      <c r="F2289" s="46" t="str">
        <f>"UNIVERSAL EDUCATION CENTER"</f>
        <v>UNIVERSAL EDUCATION CENTER</v>
      </c>
      <c r="G2289" s="23"/>
      <c r="H2289" s="23"/>
      <c r="I2289" s="41"/>
      <c r="J2289" s="41">
        <v>12</v>
      </c>
      <c r="K2289" s="20"/>
      <c r="L2289" s="21"/>
      <c r="M2289" s="110">
        <f>IF(L2289="",I2289,(MIN(J2289,(L2289*1.6*J2289))))</f>
        <v>0</v>
      </c>
      <c r="N2289" s="111">
        <f>IF(M2289=0,0,(M2289/J2289))</f>
        <v>0</v>
      </c>
    </row>
    <row r="2290" spans="2:14">
      <c r="B2290" s="72">
        <v>127681</v>
      </c>
      <c r="C2290" s="47" t="str">
        <f>"ORANGE"</f>
        <v>ORANGE</v>
      </c>
      <c r="D2290" s="123">
        <f>SUMIF(B$3:B$3844,B2290,M$3:M$3844)/(SUMIF(B$3:B$3844,B2290,J$3:J$3844))</f>
        <v>0.38094301842471529</v>
      </c>
      <c r="E2290" s="47">
        <v>36137</v>
      </c>
      <c r="F2290" s="48" t="str">
        <f>"UNIVERSITY BEHAVIORAL CENTER"</f>
        <v>UNIVERSITY BEHAVIORAL CENTER</v>
      </c>
      <c r="G2290" s="47"/>
      <c r="H2290" s="47"/>
      <c r="I2290" s="40"/>
      <c r="J2290" s="40">
        <v>42</v>
      </c>
      <c r="K2290" s="20"/>
      <c r="L2290" s="21"/>
      <c r="M2290" s="110">
        <f>IF(L2290="",I2290,(MIN(J2290,(L2290*1.6*J2290))))</f>
        <v>0</v>
      </c>
      <c r="N2290" s="111">
        <f>IF(M2290=0,0,(M2290/J2290))</f>
        <v>0</v>
      </c>
    </row>
    <row r="2291" spans="2:14">
      <c r="B2291" s="73">
        <v>127681</v>
      </c>
      <c r="C2291" s="23" t="str">
        <f>"ORANGE"</f>
        <v>ORANGE</v>
      </c>
      <c r="D2291" s="123">
        <f>SUMIF(B$3:B$3844,B2291,M$3:M$3844)/(SUMIF(B$3:B$3844,B2291,J$3:J$3844))</f>
        <v>0.38094301842471529</v>
      </c>
      <c r="E2291" s="23">
        <v>36095</v>
      </c>
      <c r="F2291" s="46" t="str">
        <f>"UNIVERSITY HIGH"</f>
        <v>UNIVERSITY HIGH</v>
      </c>
      <c r="G2291" s="23"/>
      <c r="H2291" s="23"/>
      <c r="I2291" s="41">
        <v>1838</v>
      </c>
      <c r="J2291" s="41">
        <v>3099</v>
      </c>
      <c r="K2291" s="20"/>
      <c r="L2291" s="21"/>
      <c r="M2291" s="110">
        <f>IF(L2291="",I2291,(MIN(J2291,(L2291*1.6*J2291))))</f>
        <v>1838</v>
      </c>
      <c r="N2291" s="111">
        <f>IF(M2291=0,0,(M2291/J2291))</f>
        <v>0.59309454662794447</v>
      </c>
    </row>
    <row r="2292" spans="2:14">
      <c r="B2292" s="72">
        <v>127681</v>
      </c>
      <c r="C2292" s="47" t="str">
        <f>"ORANGE"</f>
        <v>ORANGE</v>
      </c>
      <c r="D2292" s="123">
        <f>SUMIF(B$3:B$3844,B2292,M$3:M$3844)/(SUMIF(B$3:B$3844,B2292,J$3:J$3844))</f>
        <v>0.38094301842471529</v>
      </c>
      <c r="E2292" s="47">
        <v>36123</v>
      </c>
      <c r="F2292" s="48" t="str">
        <f>"VENTURA ELEMENTARY"</f>
        <v>VENTURA ELEMENTARY</v>
      </c>
      <c r="G2292" s="47"/>
      <c r="H2292" s="47"/>
      <c r="I2292" s="40"/>
      <c r="J2292" s="40">
        <v>693</v>
      </c>
      <c r="K2292" s="20"/>
      <c r="L2292" s="21"/>
      <c r="M2292" s="110">
        <f>IF(L2292="",I2292,(MIN(J2292,(L2292*1.6*J2292))))</f>
        <v>0</v>
      </c>
      <c r="N2292" s="111">
        <f>IF(M2292=0,0,(M2292/J2292))</f>
        <v>0</v>
      </c>
    </row>
    <row r="2293" spans="2:14">
      <c r="B2293" s="73">
        <v>127681</v>
      </c>
      <c r="C2293" s="23" t="str">
        <f>"ORANGE"</f>
        <v>ORANGE</v>
      </c>
      <c r="D2293" s="123">
        <f>SUMIF(B$3:B$3844,B2293,M$3:M$3844)/(SUMIF(B$3:B$3844,B2293,J$3:J$3844))</f>
        <v>0.38094301842471529</v>
      </c>
      <c r="E2293" s="23">
        <v>36034</v>
      </c>
      <c r="F2293" s="46" t="str">
        <f>"VILLAGE"</f>
        <v>VILLAGE</v>
      </c>
      <c r="G2293" s="23"/>
      <c r="H2293" s="23"/>
      <c r="I2293" s="41"/>
      <c r="J2293" s="41">
        <v>12</v>
      </c>
      <c r="K2293" s="20"/>
      <c r="L2293" s="21"/>
      <c r="M2293" s="110">
        <f>IF(L2293="",I2293,(MIN(J2293,(L2293*1.6*J2293))))</f>
        <v>0</v>
      </c>
      <c r="N2293" s="111">
        <f>IF(M2293=0,0,(M2293/J2293))</f>
        <v>0</v>
      </c>
    </row>
    <row r="2294" spans="2:14">
      <c r="B2294" s="72">
        <v>127681</v>
      </c>
      <c r="C2294" s="47" t="str">
        <f>"ORANGE"</f>
        <v>ORANGE</v>
      </c>
      <c r="D2294" s="123">
        <f>SUMIF(B$3:B$3844,B2294,M$3:M$3844)/(SUMIF(B$3:B$3844,B2294,J$3:J$3844))</f>
        <v>0.38094301842471529</v>
      </c>
      <c r="E2294" s="47">
        <v>16038014</v>
      </c>
      <c r="F2294" s="48" t="str">
        <f>"VISTA LAKES ELEMENTARY"</f>
        <v>VISTA LAKES ELEMENTARY</v>
      </c>
      <c r="G2294" s="47"/>
      <c r="H2294" s="47"/>
      <c r="I2294" s="40">
        <v>460</v>
      </c>
      <c r="J2294" s="40">
        <v>833</v>
      </c>
      <c r="K2294" s="20"/>
      <c r="L2294" s="21"/>
      <c r="M2294" s="110">
        <f>IF(L2294="",I2294,(MIN(J2294,(L2294*1.6*J2294))))</f>
        <v>460</v>
      </c>
      <c r="N2294" s="111">
        <f>IF(M2294=0,0,(M2294/J2294))</f>
        <v>0.55222088835534211</v>
      </c>
    </row>
    <row r="2295" spans="2:14">
      <c r="B2295" s="73">
        <v>127681</v>
      </c>
      <c r="C2295" s="23" t="str">
        <f>"ORANGE"</f>
        <v>ORANGE</v>
      </c>
      <c r="D2295" s="123">
        <f>SUMIF(B$3:B$3844,B2295,M$3:M$3844)/(SUMIF(B$3:B$3844,B2295,J$3:J$3844))</f>
        <v>0.38094301842471529</v>
      </c>
      <c r="E2295" s="23">
        <v>36018</v>
      </c>
      <c r="F2295" s="46" t="str">
        <f>"WASHINGTON SHORES ELEMENTARY"</f>
        <v>WASHINGTON SHORES ELEMENTARY</v>
      </c>
      <c r="G2295" s="23"/>
      <c r="H2295" s="23"/>
      <c r="I2295" s="41"/>
      <c r="J2295" s="41">
        <v>624</v>
      </c>
      <c r="K2295" s="20">
        <v>2014</v>
      </c>
      <c r="L2295" s="21">
        <v>0.71640000000000004</v>
      </c>
      <c r="M2295" s="110">
        <f>IF(L2295="",I2295,(MIN(J2295,(L2295*1.6*J2295))))</f>
        <v>624</v>
      </c>
      <c r="N2295" s="111">
        <f>IF(M2295=0,0,(M2295/J2295))</f>
        <v>1</v>
      </c>
    </row>
    <row r="2296" spans="2:14">
      <c r="B2296" s="72">
        <v>127681</v>
      </c>
      <c r="C2296" s="47" t="str">
        <f>"ORANGE"</f>
        <v>ORANGE</v>
      </c>
      <c r="D2296" s="123">
        <f>SUMIF(B$3:B$3844,B2296,M$3:M$3844)/(SUMIF(B$3:B$3844,B2296,J$3:J$3844))</f>
        <v>0.38094301842471529</v>
      </c>
      <c r="E2296" s="47">
        <v>36156</v>
      </c>
      <c r="F2296" s="48" t="str">
        <f>"WATERBRIDGE ELEMENTARY"</f>
        <v>WATERBRIDGE ELEMENTARY</v>
      </c>
      <c r="G2296" s="47"/>
      <c r="H2296" s="47"/>
      <c r="I2296" s="40"/>
      <c r="J2296" s="40">
        <v>1174</v>
      </c>
      <c r="K2296" s="20"/>
      <c r="L2296" s="21"/>
      <c r="M2296" s="110">
        <f>IF(L2296="",I2296,(MIN(J2296,(L2296*1.6*J2296))))</f>
        <v>0</v>
      </c>
      <c r="N2296" s="111">
        <f>IF(M2296=0,0,(M2296/J2296))</f>
        <v>0</v>
      </c>
    </row>
    <row r="2297" spans="2:14">
      <c r="B2297" s="73">
        <v>127681</v>
      </c>
      <c r="C2297" s="23" t="str">
        <f>"ORANGE"</f>
        <v>ORANGE</v>
      </c>
      <c r="D2297" s="123">
        <f>SUMIF(B$3:B$3844,B2297,M$3:M$3844)/(SUMIF(B$3:B$3844,B2297,J$3:J$3844))</f>
        <v>0.38094301842471529</v>
      </c>
      <c r="E2297" s="23">
        <v>36141</v>
      </c>
      <c r="F2297" s="46" t="str">
        <f>"WATERFORD ELEMENTARY"</f>
        <v>WATERFORD ELEMENTARY</v>
      </c>
      <c r="G2297" s="23"/>
      <c r="H2297" s="23"/>
      <c r="I2297" s="41">
        <v>343</v>
      </c>
      <c r="J2297" s="41">
        <v>721</v>
      </c>
      <c r="K2297" s="20"/>
      <c r="L2297" s="21"/>
      <c r="M2297" s="110">
        <f>IF(L2297="",I2297,(MIN(J2297,(L2297*1.6*J2297))))</f>
        <v>343</v>
      </c>
      <c r="N2297" s="111">
        <f>IF(M2297=0,0,(M2297/J2297))</f>
        <v>0.47572815533980584</v>
      </c>
    </row>
    <row r="2298" spans="2:14">
      <c r="B2298" s="72">
        <v>127681</v>
      </c>
      <c r="C2298" s="47" t="str">
        <f>"ORANGE"</f>
        <v>ORANGE</v>
      </c>
      <c r="D2298" s="123">
        <f>SUMIF(B$3:B$3844,B2298,M$3:M$3844)/(SUMIF(B$3:B$3844,B2298,J$3:J$3844))</f>
        <v>0.38094301842471529</v>
      </c>
      <c r="E2298" s="47">
        <v>16045321</v>
      </c>
      <c r="F2298" s="48" t="str">
        <f>"WEKIVA HIGH"</f>
        <v>WEKIVA HIGH</v>
      </c>
      <c r="G2298" s="47"/>
      <c r="H2298" s="47"/>
      <c r="I2298" s="40">
        <v>1680</v>
      </c>
      <c r="J2298" s="40">
        <v>2350</v>
      </c>
      <c r="K2298" s="20"/>
      <c r="L2298" s="21"/>
      <c r="M2298" s="110">
        <f>IF(L2298="",I2298,(MIN(J2298,(L2298*1.6*J2298))))</f>
        <v>1680</v>
      </c>
      <c r="N2298" s="111">
        <f>IF(M2298=0,0,(M2298/J2298))</f>
        <v>0.71489361702127663</v>
      </c>
    </row>
    <row r="2299" spans="2:14">
      <c r="B2299" s="73">
        <v>127681</v>
      </c>
      <c r="C2299" s="23" t="str">
        <f>"ORANGE"</f>
        <v>ORANGE</v>
      </c>
      <c r="D2299" s="123">
        <f>SUMIF(B$3:B$3844,B2299,M$3:M$3844)/(SUMIF(B$3:B$3844,B2299,J$3:J$3844))</f>
        <v>0.38094301842471529</v>
      </c>
      <c r="E2299" s="23">
        <v>16025346</v>
      </c>
      <c r="F2299" s="46" t="str">
        <f>"WEST CREEK ELEMENTARY"</f>
        <v>WEST CREEK ELEMENTARY</v>
      </c>
      <c r="G2299" s="23"/>
      <c r="H2299" s="23"/>
      <c r="I2299" s="41">
        <v>317</v>
      </c>
      <c r="J2299" s="41">
        <v>761</v>
      </c>
      <c r="K2299" s="20"/>
      <c r="L2299" s="21"/>
      <c r="M2299" s="110">
        <f>IF(L2299="",I2299,(MIN(J2299,(L2299*1.6*J2299))))</f>
        <v>317</v>
      </c>
      <c r="N2299" s="111">
        <f>IF(M2299=0,0,(M2299/J2299))</f>
        <v>0.41655716162943496</v>
      </c>
    </row>
    <row r="2300" spans="2:14">
      <c r="B2300" s="72">
        <v>127681</v>
      </c>
      <c r="C2300" s="47" t="str">
        <f>"ORANGE"</f>
        <v>ORANGE</v>
      </c>
      <c r="D2300" s="123">
        <f>SUMIF(B$3:B$3844,B2300,M$3:M$3844)/(SUMIF(B$3:B$3844,B2300,J$3:J$3844))</f>
        <v>0.38094301842471529</v>
      </c>
      <c r="E2300" s="47">
        <v>16025347</v>
      </c>
      <c r="F2300" s="48" t="str">
        <f>"WEST OAKS ELEMENTARY"</f>
        <v>WEST OAKS ELEMENTARY</v>
      </c>
      <c r="G2300" s="47"/>
      <c r="H2300" s="47"/>
      <c r="I2300" s="40"/>
      <c r="J2300" s="40">
        <v>661</v>
      </c>
      <c r="K2300" s="20"/>
      <c r="L2300" s="21"/>
      <c r="M2300" s="110">
        <f>IF(L2300="",I2300,(MIN(J2300,(L2300*1.6*J2300))))</f>
        <v>0</v>
      </c>
      <c r="N2300" s="111">
        <f>IF(M2300=0,0,(M2300/J2300))</f>
        <v>0</v>
      </c>
    </row>
    <row r="2301" spans="2:14">
      <c r="B2301" s="73">
        <v>127681</v>
      </c>
      <c r="C2301" s="23" t="str">
        <f>"ORANGE"</f>
        <v>ORANGE</v>
      </c>
      <c r="D2301" s="123">
        <f>SUMIF(B$3:B$3844,B2301,M$3:M$3844)/(SUMIF(B$3:B$3844,B2301,J$3:J$3844))</f>
        <v>0.38094301842471529</v>
      </c>
      <c r="E2301" s="23">
        <v>38795</v>
      </c>
      <c r="F2301" s="46" t="str">
        <f>"WEST ORANGE HIGH"</f>
        <v>WEST ORANGE HIGH</v>
      </c>
      <c r="G2301" s="23"/>
      <c r="H2301" s="23"/>
      <c r="I2301" s="41">
        <v>1414</v>
      </c>
      <c r="J2301" s="41">
        <v>4123</v>
      </c>
      <c r="K2301" s="20"/>
      <c r="L2301" s="21"/>
      <c r="M2301" s="110">
        <f>IF(L2301="",I2301,(MIN(J2301,(L2301*1.6*J2301))))</f>
        <v>1414</v>
      </c>
      <c r="N2301" s="111">
        <f>IF(M2301=0,0,(M2301/J2301))</f>
        <v>0.34295415959252973</v>
      </c>
    </row>
    <row r="2302" spans="2:14">
      <c r="B2302" s="72">
        <v>127681</v>
      </c>
      <c r="C2302" s="47" t="str">
        <f>"ORANGE"</f>
        <v>ORANGE</v>
      </c>
      <c r="D2302" s="123">
        <f>SUMIF(B$3:B$3844,B2302,M$3:M$3844)/(SUMIF(B$3:B$3844,B2302,J$3:J$3844))</f>
        <v>0.38094301842471529</v>
      </c>
      <c r="E2302" s="47">
        <v>16049218</v>
      </c>
      <c r="F2302" s="48" t="str">
        <f>"WESTBROOKE ELEMENTARY"</f>
        <v>WESTBROOKE ELEMENTARY</v>
      </c>
      <c r="G2302" s="47"/>
      <c r="H2302" s="47"/>
      <c r="I2302" s="40">
        <v>279</v>
      </c>
      <c r="J2302" s="40">
        <v>670</v>
      </c>
      <c r="K2302" s="20"/>
      <c r="L2302" s="21"/>
      <c r="M2302" s="110">
        <f>IF(L2302="",I2302,(MIN(J2302,(L2302*1.6*J2302))))</f>
        <v>279</v>
      </c>
      <c r="N2302" s="111">
        <f>IF(M2302=0,0,(M2302/J2302))</f>
        <v>0.41641791044776122</v>
      </c>
    </row>
    <row r="2303" spans="2:14">
      <c r="B2303" s="73">
        <v>127681</v>
      </c>
      <c r="C2303" s="23" t="str">
        <f>"ORANGE"</f>
        <v>ORANGE</v>
      </c>
      <c r="D2303" s="123">
        <f>SUMIF(B$3:B$3844,B2303,M$3:M$3844)/(SUMIF(B$3:B$3844,B2303,J$3:J$3844))</f>
        <v>0.38094301842471529</v>
      </c>
      <c r="E2303" s="23">
        <v>36070</v>
      </c>
      <c r="F2303" s="46" t="str">
        <f>"WESTRIDGE MIDDLE"</f>
        <v>WESTRIDGE MIDDLE</v>
      </c>
      <c r="G2303" s="23"/>
      <c r="H2303" s="23"/>
      <c r="I2303" s="41"/>
      <c r="J2303" s="41">
        <v>1189</v>
      </c>
      <c r="K2303" s="20"/>
      <c r="L2303" s="21"/>
      <c r="M2303" s="110">
        <f>IF(L2303="",I2303,(MIN(J2303,(L2303*1.6*J2303))))</f>
        <v>0</v>
      </c>
      <c r="N2303" s="111">
        <f>IF(M2303=0,0,(M2303/J2303))</f>
        <v>0</v>
      </c>
    </row>
    <row r="2304" spans="2:14">
      <c r="B2304" s="72">
        <v>127681</v>
      </c>
      <c r="C2304" s="47" t="str">
        <f>"ORANGE"</f>
        <v>ORANGE</v>
      </c>
      <c r="D2304" s="123">
        <f>SUMIF(B$3:B$3844,B2304,M$3:M$3844)/(SUMIF(B$3:B$3844,B2304,J$3:J$3844))</f>
        <v>0.38094301842471529</v>
      </c>
      <c r="E2304" s="47">
        <v>16065991</v>
      </c>
      <c r="F2304" s="48" t="str">
        <f>"WETHERBEE ELEMENTARY"</f>
        <v>WETHERBEE ELEMENTARY</v>
      </c>
      <c r="G2304" s="47"/>
      <c r="H2304" s="47"/>
      <c r="I2304" s="40"/>
      <c r="J2304" s="40">
        <v>932</v>
      </c>
      <c r="K2304" s="20"/>
      <c r="L2304" s="21"/>
      <c r="M2304" s="110">
        <f>IF(L2304="",I2304,(MIN(J2304,(L2304*1.6*J2304))))</f>
        <v>0</v>
      </c>
      <c r="N2304" s="111">
        <f>IF(M2304=0,0,(M2304/J2304))</f>
        <v>0</v>
      </c>
    </row>
    <row r="2305" spans="2:14">
      <c r="B2305" s="73">
        <v>127681</v>
      </c>
      <c r="C2305" s="23" t="str">
        <f>"ORANGE"</f>
        <v>ORANGE</v>
      </c>
      <c r="D2305" s="123">
        <f>SUMIF(B$3:B$3844,B2305,M$3:M$3844)/(SUMIF(B$3:B$3844,B2305,J$3:J$3844))</f>
        <v>0.38094301842471529</v>
      </c>
      <c r="E2305" s="23">
        <v>16033386</v>
      </c>
      <c r="F2305" s="46" t="s">
        <v>2189</v>
      </c>
      <c r="G2305" s="23"/>
      <c r="H2305" s="23"/>
      <c r="I2305" s="41">
        <v>211</v>
      </c>
      <c r="J2305" s="41">
        <v>862</v>
      </c>
      <c r="K2305" s="20"/>
      <c r="L2305" s="21"/>
      <c r="M2305" s="110">
        <f>IF(L2305="",I2305,(MIN(J2305,(L2305*1.6*J2305))))</f>
        <v>211</v>
      </c>
      <c r="N2305" s="111">
        <f>IF(M2305=0,0,(M2305/J2305))</f>
        <v>0.24477958236658934</v>
      </c>
    </row>
    <row r="2306" spans="2:14">
      <c r="B2306" s="72">
        <v>127681</v>
      </c>
      <c r="C2306" s="47" t="str">
        <f>"ORANGE"</f>
        <v>ORANGE</v>
      </c>
      <c r="D2306" s="123">
        <f>SUMIF(B$3:B$3844,B2306,M$3:M$3844)/(SUMIF(B$3:B$3844,B2306,J$3:J$3844))</f>
        <v>0.38094301842471529</v>
      </c>
      <c r="E2306" s="47">
        <v>36151</v>
      </c>
      <c r="F2306" s="48" t="str">
        <f>"WILLIAM FRANGUS ELEMENTARY"</f>
        <v>WILLIAM FRANGUS ELEMENTARY</v>
      </c>
      <c r="G2306" s="47"/>
      <c r="H2306" s="47"/>
      <c r="I2306" s="40"/>
      <c r="J2306" s="40">
        <v>637</v>
      </c>
      <c r="K2306" s="20"/>
      <c r="L2306" s="21"/>
      <c r="M2306" s="110">
        <f>IF(L2306="",I2306,(MIN(J2306,(L2306*1.6*J2306))))</f>
        <v>0</v>
      </c>
      <c r="N2306" s="111">
        <f>IF(M2306=0,0,(M2306/J2306))</f>
        <v>0</v>
      </c>
    </row>
    <row r="2307" spans="2:14">
      <c r="B2307" s="73">
        <v>127681</v>
      </c>
      <c r="C2307" s="23" t="str">
        <f>"ORANGE"</f>
        <v>ORANGE</v>
      </c>
      <c r="D2307" s="123">
        <f>SUMIF(B$3:B$3844,B2307,M$3:M$3844)/(SUMIF(B$3:B$3844,B2307,J$3:J$3844))</f>
        <v>0.38094301842471529</v>
      </c>
      <c r="E2307" s="23">
        <v>36033</v>
      </c>
      <c r="F2307" s="46" t="str">
        <f>"WILLIAM R BOONE HIGH"</f>
        <v>WILLIAM R BOONE HIGH</v>
      </c>
      <c r="G2307" s="23"/>
      <c r="H2307" s="23"/>
      <c r="I2307" s="41">
        <v>1413</v>
      </c>
      <c r="J2307" s="41">
        <v>2842</v>
      </c>
      <c r="K2307" s="20"/>
      <c r="L2307" s="21"/>
      <c r="M2307" s="110">
        <f>IF(L2307="",I2307,(MIN(J2307,(L2307*1.6*J2307))))</f>
        <v>1413</v>
      </c>
      <c r="N2307" s="111">
        <f>IF(M2307=0,0,(M2307/J2307))</f>
        <v>0.49718508092892327</v>
      </c>
    </row>
    <row r="2308" spans="2:14">
      <c r="B2308" s="72">
        <v>127681</v>
      </c>
      <c r="C2308" s="47" t="str">
        <f>"ORANGE"</f>
        <v>ORANGE</v>
      </c>
      <c r="D2308" s="123">
        <f>SUMIF(B$3:B$3844,B2308,M$3:M$3844)/(SUMIF(B$3:B$3844,B2308,J$3:J$3844))</f>
        <v>0.38094301842471529</v>
      </c>
      <c r="E2308" s="47">
        <v>38791</v>
      </c>
      <c r="F2308" s="48" t="str">
        <f>"WILLIAM S MAXEY ELEMENTARY"</f>
        <v>WILLIAM S MAXEY ELEMENTARY</v>
      </c>
      <c r="G2308" s="47"/>
      <c r="H2308" s="47"/>
      <c r="I2308" s="40"/>
      <c r="J2308" s="40">
        <v>297</v>
      </c>
      <c r="K2308" s="20"/>
      <c r="L2308" s="21"/>
      <c r="M2308" s="110">
        <f>IF(L2308="",I2308,(MIN(J2308,(L2308*1.6*J2308))))</f>
        <v>0</v>
      </c>
      <c r="N2308" s="111">
        <f>IF(M2308=0,0,(M2308/J2308))</f>
        <v>0</v>
      </c>
    </row>
    <row r="2309" spans="2:14">
      <c r="B2309" s="73">
        <v>127681</v>
      </c>
      <c r="C2309" s="23" t="str">
        <f>"ORANGE"</f>
        <v>ORANGE</v>
      </c>
      <c r="D2309" s="123">
        <f>SUMIF(B$3:B$3844,B2309,M$3:M$3844)/(SUMIF(B$3:B$3844,B2309,J$3:J$3844))</f>
        <v>0.38094301842471529</v>
      </c>
      <c r="E2309" s="23">
        <v>38785</v>
      </c>
      <c r="F2309" s="46" t="str">
        <f>"WINDERMERE ELEMENTARY"</f>
        <v>WINDERMERE ELEMENTARY</v>
      </c>
      <c r="G2309" s="23"/>
      <c r="H2309" s="23"/>
      <c r="I2309" s="41">
        <v>87</v>
      </c>
      <c r="J2309" s="41">
        <v>710</v>
      </c>
      <c r="K2309" s="20"/>
      <c r="L2309" s="21"/>
      <c r="M2309" s="110">
        <f>IF(L2309="",I2309,(MIN(J2309,(L2309*1.6*J2309))))</f>
        <v>87</v>
      </c>
      <c r="N2309" s="111">
        <f>IF(M2309=0,0,(M2309/J2309))</f>
        <v>0.12253521126760564</v>
      </c>
    </row>
    <row r="2310" spans="2:14">
      <c r="B2310" s="72">
        <v>127681</v>
      </c>
      <c r="C2310" s="47" t="str">
        <f>"ORANGE"</f>
        <v>ORANGE</v>
      </c>
      <c r="D2310" s="123">
        <f>SUMIF(B$3:B$3844,B2310,M$3:M$3844)/(SUMIF(B$3:B$3844,B2310,J$3:J$3844))</f>
        <v>0.38094301842471529</v>
      </c>
      <c r="E2310" s="47">
        <v>36148</v>
      </c>
      <c r="F2310" s="48" t="str">
        <f>"WINDY RIDGE K-8"</f>
        <v>WINDY RIDGE K-8</v>
      </c>
      <c r="G2310" s="47"/>
      <c r="H2310" s="47"/>
      <c r="I2310" s="40">
        <v>605</v>
      </c>
      <c r="J2310" s="40">
        <v>1128</v>
      </c>
      <c r="K2310" s="20"/>
      <c r="L2310" s="21"/>
      <c r="M2310" s="110">
        <f>IF(L2310="",I2310,(MIN(J2310,(L2310*1.6*J2310))))</f>
        <v>605</v>
      </c>
      <c r="N2310" s="111">
        <f>IF(M2310=0,0,(M2310/J2310))</f>
        <v>0.53634751773049649</v>
      </c>
    </row>
    <row r="2311" spans="2:14">
      <c r="B2311" s="73">
        <v>127681</v>
      </c>
      <c r="C2311" s="23" t="str">
        <f>"ORANGE"</f>
        <v>ORANGE</v>
      </c>
      <c r="D2311" s="123">
        <f>SUMIF(B$3:B$3844,B2311,M$3:M$3844)/(SUMIF(B$3:B$3844,B2311,J$3:J$3844))</f>
        <v>0.38094301842471529</v>
      </c>
      <c r="E2311" s="23">
        <v>36078</v>
      </c>
      <c r="F2311" s="46" t="str">
        <f>"WINEGARD ELEMENTARY"</f>
        <v>WINEGARD ELEMENTARY</v>
      </c>
      <c r="G2311" s="23"/>
      <c r="H2311" s="23"/>
      <c r="I2311" s="41"/>
      <c r="J2311" s="41">
        <v>798</v>
      </c>
      <c r="K2311" s="20"/>
      <c r="L2311" s="21"/>
      <c r="M2311" s="110">
        <f>IF(L2311="",I2311,(MIN(J2311,(L2311*1.6*J2311))))</f>
        <v>0</v>
      </c>
      <c r="N2311" s="111">
        <f>IF(M2311=0,0,(M2311/J2311))</f>
        <v>0</v>
      </c>
    </row>
    <row r="2312" spans="2:14">
      <c r="B2312" s="72">
        <v>127681</v>
      </c>
      <c r="C2312" s="47" t="str">
        <f>"ORANGE"</f>
        <v>ORANGE</v>
      </c>
      <c r="D2312" s="123">
        <f>SUMIF(B$3:B$3844,B2312,M$3:M$3844)/(SUMIF(B$3:B$3844,B2312,J$3:J$3844))</f>
        <v>0.38094301842471529</v>
      </c>
      <c r="E2312" s="47">
        <v>35976</v>
      </c>
      <c r="F2312" s="48" t="str">
        <f>"WINTER PARK EDUCATION CENTER"</f>
        <v>WINTER PARK EDUCATION CENTER</v>
      </c>
      <c r="G2312" s="47"/>
      <c r="H2312" s="47"/>
      <c r="I2312" s="40">
        <v>6</v>
      </c>
      <c r="J2312" s="40">
        <v>13</v>
      </c>
      <c r="K2312" s="20"/>
      <c r="L2312" s="21"/>
      <c r="M2312" s="110">
        <f>IF(L2312="",I2312,(MIN(J2312,(L2312*1.6*J2312))))</f>
        <v>6</v>
      </c>
      <c r="N2312" s="111">
        <f>IF(M2312=0,0,(M2312/J2312))</f>
        <v>0.46153846153846156</v>
      </c>
    </row>
    <row r="2313" spans="2:14">
      <c r="B2313" s="73">
        <v>127681</v>
      </c>
      <c r="C2313" s="23" t="str">
        <f>"ORANGE"</f>
        <v>ORANGE</v>
      </c>
      <c r="D2313" s="123">
        <f>SUMIF(B$3:B$3844,B2313,M$3:M$3844)/(SUMIF(B$3:B$3844,B2313,J$3:J$3844))</f>
        <v>0.38094301842471529</v>
      </c>
      <c r="E2313" s="23">
        <v>35975</v>
      </c>
      <c r="F2313" s="46" t="str">
        <f>"WINTER PARK HIGH"</f>
        <v>WINTER PARK HIGH</v>
      </c>
      <c r="G2313" s="23"/>
      <c r="H2313" s="23"/>
      <c r="I2313" s="41">
        <v>1101</v>
      </c>
      <c r="J2313" s="41">
        <v>3142</v>
      </c>
      <c r="K2313" s="20"/>
      <c r="L2313" s="21"/>
      <c r="M2313" s="110">
        <f>IF(L2313="",I2313,(MIN(J2313,(L2313*1.6*J2313))))</f>
        <v>1101</v>
      </c>
      <c r="N2313" s="111">
        <f>IF(M2313=0,0,(M2313/J2313))</f>
        <v>0.35041374920432844</v>
      </c>
    </row>
    <row r="2314" spans="2:14">
      <c r="B2314" s="72">
        <v>127681</v>
      </c>
      <c r="C2314" s="47" t="str">
        <f>"ORANGE"</f>
        <v>ORANGE</v>
      </c>
      <c r="D2314" s="123">
        <f>SUMIF(B$3:B$3844,B2314,M$3:M$3844)/(SUMIF(B$3:B$3844,B2314,J$3:J$3844))</f>
        <v>0.38094301842471529</v>
      </c>
      <c r="E2314" s="47">
        <v>35962</v>
      </c>
      <c r="F2314" s="48" t="str">
        <f>"WINTER PARK TECH"</f>
        <v>WINTER PARK TECH</v>
      </c>
      <c r="G2314" s="47"/>
      <c r="H2314" s="47"/>
      <c r="I2314" s="40"/>
      <c r="J2314" s="40">
        <v>0</v>
      </c>
      <c r="K2314" s="20"/>
      <c r="L2314" s="21"/>
      <c r="M2314" s="110">
        <f>IF(L2314="",I2314,(MIN(J2314,(L2314*1.6*J2314))))</f>
        <v>0</v>
      </c>
      <c r="N2314" s="111">
        <f>IF(M2314=0,0,(M2314/J2314))</f>
        <v>0</v>
      </c>
    </row>
    <row r="2315" spans="2:14">
      <c r="B2315" s="73">
        <v>127681</v>
      </c>
      <c r="C2315" s="23" t="str">
        <f>"ORANGE"</f>
        <v>ORANGE</v>
      </c>
      <c r="D2315" s="123">
        <f>SUMIF(B$3:B$3844,B2315,M$3:M$3844)/(SUMIF(B$3:B$3844,B2315,J$3:J$3844))</f>
        <v>0.38094301842471529</v>
      </c>
      <c r="E2315" s="23">
        <v>16038016</v>
      </c>
      <c r="F2315" s="46" t="str">
        <f>"WOLF LAKE ELEMENTARY"</f>
        <v>WOLF LAKE ELEMENTARY</v>
      </c>
      <c r="G2315" s="23"/>
      <c r="H2315" s="23"/>
      <c r="I2315" s="41">
        <v>535</v>
      </c>
      <c r="J2315" s="41">
        <v>1180</v>
      </c>
      <c r="K2315" s="20"/>
      <c r="L2315" s="21"/>
      <c r="M2315" s="110">
        <f>IF(L2315="",I2315,(MIN(J2315,(L2315*1.6*J2315))))</f>
        <v>535</v>
      </c>
      <c r="N2315" s="111">
        <f>IF(M2315=0,0,(M2315/J2315))</f>
        <v>0.45338983050847459</v>
      </c>
    </row>
    <row r="2316" spans="2:14">
      <c r="B2316" s="72">
        <v>127681</v>
      </c>
      <c r="C2316" s="47" t="str">
        <f>"ORANGE"</f>
        <v>ORANGE</v>
      </c>
      <c r="D2316" s="123">
        <f>SUMIF(B$3:B$3844,B2316,M$3:M$3844)/(SUMIF(B$3:B$3844,B2316,J$3:J$3844))</f>
        <v>0.38094301842471529</v>
      </c>
      <c r="E2316" s="47">
        <v>16038011</v>
      </c>
      <c r="F2316" s="48" t="str">
        <f>"WOLF LAKE MIDDLE"</f>
        <v>WOLF LAKE MIDDLE</v>
      </c>
      <c r="G2316" s="47"/>
      <c r="H2316" s="47"/>
      <c r="I2316" s="40">
        <v>715</v>
      </c>
      <c r="J2316" s="40">
        <v>1223</v>
      </c>
      <c r="K2316" s="20"/>
      <c r="L2316" s="21"/>
      <c r="M2316" s="110">
        <f>IF(L2316="",I2316,(MIN(J2316,(L2316*1.6*J2316))))</f>
        <v>715</v>
      </c>
      <c r="N2316" s="111">
        <f>IF(M2316=0,0,(M2316/J2316))</f>
        <v>0.58462796402289452</v>
      </c>
    </row>
    <row r="2317" spans="2:14">
      <c r="B2317" s="73">
        <v>127681</v>
      </c>
      <c r="C2317" s="23" t="str">
        <f>"ORANGE"</f>
        <v>ORANGE</v>
      </c>
      <c r="D2317" s="123">
        <f>SUMIF(B$3:B$3844,B2317,M$3:M$3844)/(SUMIF(B$3:B$3844,B2317,J$3:J$3844))</f>
        <v>0.38094301842471529</v>
      </c>
      <c r="E2317" s="23">
        <v>16072325</v>
      </c>
      <c r="F2317" s="46" t="s">
        <v>2190</v>
      </c>
      <c r="G2317" s="23"/>
      <c r="H2317" s="23"/>
      <c r="I2317" s="41"/>
      <c r="J2317" s="41">
        <v>249</v>
      </c>
      <c r="K2317" s="20"/>
      <c r="L2317" s="21"/>
      <c r="M2317" s="110">
        <f>IF(L2317="",I2317,(MIN(J2317,(L2317*1.6*J2317))))</f>
        <v>0</v>
      </c>
      <c r="N2317" s="111">
        <f>IF(M2317=0,0,(M2317/J2317))</f>
        <v>0</v>
      </c>
    </row>
    <row r="2318" spans="2:14">
      <c r="B2318" s="72">
        <v>127681</v>
      </c>
      <c r="C2318" s="47" t="str">
        <f>"ORANGE"</f>
        <v>ORANGE</v>
      </c>
      <c r="D2318" s="123">
        <f>SUMIF(B$3:B$3844,B2318,M$3:M$3844)/(SUMIF(B$3:B$3844,B2318,J$3:J$3844))</f>
        <v>0.38094301842471529</v>
      </c>
      <c r="E2318" s="47">
        <v>16038013</v>
      </c>
      <c r="F2318" s="48" t="str">
        <f>"WYNDHAM LAKES ELEMENTARY"</f>
        <v>WYNDHAM LAKES ELEMENTARY</v>
      </c>
      <c r="G2318" s="47"/>
      <c r="H2318" s="47"/>
      <c r="I2318" s="40"/>
      <c r="J2318" s="40">
        <v>917</v>
      </c>
      <c r="K2318" s="20"/>
      <c r="L2318" s="21"/>
      <c r="M2318" s="110">
        <f>IF(L2318="",I2318,(MIN(J2318,(L2318*1.6*J2318))))</f>
        <v>0</v>
      </c>
      <c r="N2318" s="111">
        <f>IF(M2318=0,0,(M2318/J2318))</f>
        <v>0</v>
      </c>
    </row>
    <row r="2319" spans="2:14">
      <c r="B2319" s="73">
        <v>127681</v>
      </c>
      <c r="C2319" s="23" t="str">
        <f>"ORANGE"</f>
        <v>ORANGE</v>
      </c>
      <c r="D2319" s="123">
        <f>SUMIF(B$3:B$3844,B2319,M$3:M$3844)/(SUMIF(B$3:B$3844,B2319,J$3:J$3844))</f>
        <v>0.38094301842471529</v>
      </c>
      <c r="E2319" s="23">
        <v>35989</v>
      </c>
      <c r="F2319" s="46" t="str">
        <f>"ZELLWOOD ELEMENTARY"</f>
        <v>ZELLWOOD ELEMENTARY</v>
      </c>
      <c r="G2319" s="23"/>
      <c r="H2319" s="23"/>
      <c r="I2319" s="41"/>
      <c r="J2319" s="41">
        <v>627</v>
      </c>
      <c r="K2319" s="20"/>
      <c r="L2319" s="21"/>
      <c r="M2319" s="110">
        <f>IF(L2319="",I2319,(MIN(J2319,(L2319*1.6*J2319))))</f>
        <v>0</v>
      </c>
      <c r="N2319" s="111">
        <f>IF(M2319=0,0,(M2319/J2319))</f>
        <v>0</v>
      </c>
    </row>
    <row r="2320" spans="2:14">
      <c r="B2320" s="73">
        <v>127889</v>
      </c>
      <c r="C2320" s="23" t="s">
        <v>972</v>
      </c>
      <c r="D2320" s="123">
        <f>SUMIF(B$3:B$3844,B2320,M$3:M$3844)/(SUMIF(B$3:B$3844,B2320,J$3:J$3844))</f>
        <v>0.77847489432681916</v>
      </c>
      <c r="E2320" s="47">
        <v>16020899</v>
      </c>
      <c r="F2320" s="48" t="s">
        <v>973</v>
      </c>
      <c r="G2320" s="49">
        <v>120147007018</v>
      </c>
      <c r="H2320" s="47"/>
      <c r="I2320" s="40"/>
      <c r="J2320" s="40">
        <v>0</v>
      </c>
      <c r="K2320" s="20"/>
      <c r="L2320" s="20"/>
      <c r="M2320" s="110">
        <f>IF(L2320="",I2320,(MIN(J2320,(L2320*1.6*J2320))))</f>
        <v>0</v>
      </c>
      <c r="N2320" s="111">
        <f>IF(M2320=0,0,(M2320/J2320))</f>
        <v>0</v>
      </c>
    </row>
    <row r="2321" spans="2:14">
      <c r="B2321" s="72">
        <v>127889</v>
      </c>
      <c r="C2321" s="47" t="s">
        <v>972</v>
      </c>
      <c r="D2321" s="123">
        <f>SUMIF(B$3:B$3844,B2321,M$3:M$3844)/(SUMIF(B$3:B$3844,B2321,J$3:J$3844))</f>
        <v>0.77847489432681916</v>
      </c>
      <c r="E2321" s="47">
        <v>16027017</v>
      </c>
      <c r="F2321" s="48" t="s">
        <v>974</v>
      </c>
      <c r="G2321" s="49">
        <v>120147004012</v>
      </c>
      <c r="H2321" s="47"/>
      <c r="I2321" s="40">
        <v>889</v>
      </c>
      <c r="J2321" s="40">
        <v>1296</v>
      </c>
      <c r="K2321" s="20"/>
      <c r="L2321" s="20"/>
      <c r="M2321" s="110">
        <f>IF(L2321="",I2321,(MIN(J2321,(L2321*1.6*J2321))))</f>
        <v>889</v>
      </c>
      <c r="N2321" s="111">
        <f>IF(M2321=0,0,(M2321/J2321))</f>
        <v>0.68595679012345678</v>
      </c>
    </row>
    <row r="2322" spans="2:14">
      <c r="B2322" s="73">
        <v>127889</v>
      </c>
      <c r="C2322" s="23" t="s">
        <v>972</v>
      </c>
      <c r="D2322" s="123">
        <f>SUMIF(B$3:B$3844,B2322,M$3:M$3844)/(SUMIF(B$3:B$3844,B2322,J$3:J$3844))</f>
        <v>0.77847489432681916</v>
      </c>
      <c r="E2322" s="47">
        <v>38742</v>
      </c>
      <c r="F2322" s="48" t="s">
        <v>975</v>
      </c>
      <c r="G2322" s="49">
        <v>120147002357</v>
      </c>
      <c r="H2322" s="47"/>
      <c r="I2322" s="40"/>
      <c r="J2322" s="40">
        <v>738</v>
      </c>
      <c r="K2322" s="20">
        <v>2015</v>
      </c>
      <c r="L2322" s="20">
        <v>68.239999999999995</v>
      </c>
      <c r="M2322" s="110">
        <f>IF(L2322="",I2322,(MIN(J2322,(L2322*1.6*J2322))))</f>
        <v>738</v>
      </c>
      <c r="N2322" s="111">
        <f>IF(M2322=0,0,(M2322/J2322))</f>
        <v>1</v>
      </c>
    </row>
    <row r="2323" spans="2:14">
      <c r="B2323" s="72">
        <v>127889</v>
      </c>
      <c r="C2323" s="47" t="s">
        <v>972</v>
      </c>
      <c r="D2323" s="123">
        <f>SUMIF(B$3:B$3844,B2323,M$3:M$3844)/(SUMIF(B$3:B$3844,B2323,J$3:J$3844))</f>
        <v>0.77847489432681916</v>
      </c>
      <c r="E2323" s="47">
        <v>232558</v>
      </c>
      <c r="F2323" s="48" t="s">
        <v>976</v>
      </c>
      <c r="G2323" s="49">
        <v>120147004118</v>
      </c>
      <c r="H2323" s="47"/>
      <c r="I2323" s="40">
        <v>1510</v>
      </c>
      <c r="J2323" s="40">
        <v>2428</v>
      </c>
      <c r="K2323" s="20"/>
      <c r="L2323" s="20"/>
      <c r="M2323" s="110">
        <f>IF(L2323="",I2323,(MIN(J2323,(L2323*1.6*J2323))))</f>
        <v>1510</v>
      </c>
      <c r="N2323" s="111">
        <f>IF(M2323=0,0,(M2323/J2323))</f>
        <v>0.62191103789126856</v>
      </c>
    </row>
    <row r="2324" spans="2:14">
      <c r="B2324" s="73">
        <v>127889</v>
      </c>
      <c r="C2324" s="23" t="s">
        <v>972</v>
      </c>
      <c r="D2324" s="123">
        <f>SUMIF(B$3:B$3844,B2324,M$3:M$3844)/(SUMIF(B$3:B$3844,B2324,J$3:J$3844))</f>
        <v>0.77847489432681916</v>
      </c>
      <c r="E2324" s="47">
        <v>38753</v>
      </c>
      <c r="F2324" s="48" t="s">
        <v>977</v>
      </c>
      <c r="G2324" s="49">
        <v>120147003098</v>
      </c>
      <c r="H2324" s="47"/>
      <c r="I2324" s="40">
        <v>323</v>
      </c>
      <c r="J2324" s="40">
        <v>1339</v>
      </c>
      <c r="K2324" s="20"/>
      <c r="L2324" s="20"/>
      <c r="M2324" s="110">
        <f>IF(L2324="",I2324,(MIN(J2324,(L2324*1.6*J2324))))</f>
        <v>323</v>
      </c>
      <c r="N2324" s="111">
        <f>IF(M2324=0,0,(M2324/J2324))</f>
        <v>0.24122479462285287</v>
      </c>
    </row>
    <row r="2325" spans="2:14">
      <c r="B2325" s="72">
        <v>127889</v>
      </c>
      <c r="C2325" s="47" t="s">
        <v>972</v>
      </c>
      <c r="D2325" s="123">
        <f>SUMIF(B$3:B$3844,B2325,M$3:M$3844)/(SUMIF(B$3:B$3844,B2325,J$3:J$3844))</f>
        <v>0.77847489432681916</v>
      </c>
      <c r="E2325" s="47">
        <v>38734</v>
      </c>
      <c r="F2325" s="48" t="s">
        <v>978</v>
      </c>
      <c r="G2325" s="49">
        <v>120147003749</v>
      </c>
      <c r="H2325" s="47"/>
      <c r="I2325" s="40"/>
      <c r="J2325" s="40">
        <v>737</v>
      </c>
      <c r="K2325" s="20">
        <v>2015</v>
      </c>
      <c r="L2325" s="20">
        <v>72.09</v>
      </c>
      <c r="M2325" s="110">
        <f>IF(L2325="",I2325,(MIN(J2325,(L2325*1.6*J2325))))</f>
        <v>737</v>
      </c>
      <c r="N2325" s="111">
        <f>IF(M2325=0,0,(M2325/J2325))</f>
        <v>1</v>
      </c>
    </row>
    <row r="2326" spans="2:14" ht="30">
      <c r="B2326" s="73">
        <v>127889</v>
      </c>
      <c r="C2326" s="23" t="s">
        <v>972</v>
      </c>
      <c r="D2326" s="123">
        <f>SUMIF(B$3:B$3844,B2326,M$3:M$3844)/(SUMIF(B$3:B$3844,B2326,J$3:J$3844))</f>
        <v>0.77847489432681916</v>
      </c>
      <c r="E2326" s="47">
        <v>16033404</v>
      </c>
      <c r="F2326" s="48" t="s">
        <v>979</v>
      </c>
      <c r="G2326" s="49">
        <v>120147005655</v>
      </c>
      <c r="H2326" s="47"/>
      <c r="I2326" s="40"/>
      <c r="J2326" s="40">
        <v>722</v>
      </c>
      <c r="K2326" s="20">
        <v>2015</v>
      </c>
      <c r="L2326" s="20">
        <v>66.92</v>
      </c>
      <c r="M2326" s="110">
        <f>IF(L2326="",I2326,(MIN(J2326,(L2326*1.6*J2326))))</f>
        <v>722</v>
      </c>
      <c r="N2326" s="111">
        <f>IF(M2326=0,0,(M2326/J2326))</f>
        <v>1</v>
      </c>
    </row>
    <row r="2327" spans="2:14">
      <c r="B2327" s="72">
        <v>127889</v>
      </c>
      <c r="C2327" s="47" t="s">
        <v>972</v>
      </c>
      <c r="D2327" s="123">
        <f>SUMIF(B$3:B$3844,B2327,M$3:M$3844)/(SUMIF(B$3:B$3844,B2327,J$3:J$3844))</f>
        <v>0.77847489432681916</v>
      </c>
      <c r="E2327" s="47">
        <v>38740</v>
      </c>
      <c r="F2327" s="48" t="s">
        <v>56</v>
      </c>
      <c r="G2327" s="49">
        <v>120147000913</v>
      </c>
      <c r="H2327" s="47"/>
      <c r="I2327" s="40"/>
      <c r="J2327" s="40">
        <v>751</v>
      </c>
      <c r="K2327" s="20">
        <v>2015</v>
      </c>
      <c r="L2327" s="20">
        <v>69.66</v>
      </c>
      <c r="M2327" s="110">
        <f>IF(L2327="",I2327,(MIN(J2327,(L2327*1.6*J2327))))</f>
        <v>751</v>
      </c>
      <c r="N2327" s="111">
        <f>IF(M2327=0,0,(M2327/J2327))</f>
        <v>1</v>
      </c>
    </row>
    <row r="2328" spans="2:14">
      <c r="B2328" s="73">
        <v>127889</v>
      </c>
      <c r="C2328" s="23" t="s">
        <v>972</v>
      </c>
      <c r="D2328" s="123">
        <f>SUMIF(B$3:B$3844,B2328,M$3:M$3844)/(SUMIF(B$3:B$3844,B2328,J$3:J$3844))</f>
        <v>0.77847489432681916</v>
      </c>
      <c r="E2328" s="47">
        <v>38769</v>
      </c>
      <c r="F2328" s="48" t="s">
        <v>980</v>
      </c>
      <c r="G2328" s="49">
        <v>120147002865</v>
      </c>
      <c r="H2328" s="47"/>
      <c r="I2328" s="40"/>
      <c r="J2328" s="40">
        <v>633</v>
      </c>
      <c r="K2328" s="20">
        <v>2015</v>
      </c>
      <c r="L2328" s="20">
        <v>72.97</v>
      </c>
      <c r="M2328" s="110">
        <f>IF(L2328="",I2328,(MIN(J2328,(L2328*1.6*J2328))))</f>
        <v>633</v>
      </c>
      <c r="N2328" s="111">
        <f>IF(M2328=0,0,(M2328/J2328))</f>
        <v>1</v>
      </c>
    </row>
    <row r="2329" spans="2:14">
      <c r="B2329" s="72">
        <v>127889</v>
      </c>
      <c r="C2329" s="47" t="s">
        <v>972</v>
      </c>
      <c r="D2329" s="123">
        <f>SUMIF(B$3:B$3844,B2329,M$3:M$3844)/(SUMIF(B$3:B$3844,B2329,J$3:J$3844))</f>
        <v>0.77847489432681916</v>
      </c>
      <c r="E2329" s="47">
        <v>38746</v>
      </c>
      <c r="F2329" s="48" t="s">
        <v>981</v>
      </c>
      <c r="G2329" s="49">
        <v>120147001470</v>
      </c>
      <c r="H2329" s="47"/>
      <c r="I2329" s="40"/>
      <c r="J2329" s="40">
        <v>944</v>
      </c>
      <c r="K2329" s="20">
        <v>2015</v>
      </c>
      <c r="L2329" s="20">
        <v>66.06</v>
      </c>
      <c r="M2329" s="110">
        <f>IF(L2329="",I2329,(MIN(J2329,(L2329*1.6*J2329))))</f>
        <v>944</v>
      </c>
      <c r="N2329" s="111">
        <f>IF(M2329=0,0,(M2329/J2329))</f>
        <v>1</v>
      </c>
    </row>
    <row r="2330" spans="2:14">
      <c r="B2330" s="73">
        <v>127889</v>
      </c>
      <c r="C2330" s="23" t="s">
        <v>972</v>
      </c>
      <c r="D2330" s="123">
        <f>SUMIF(B$3:B$3844,B2330,M$3:M$3844)/(SUMIF(B$3:B$3844,B2330,J$3:J$3844))</f>
        <v>0.77847489432681916</v>
      </c>
      <c r="E2330" s="47">
        <v>205215</v>
      </c>
      <c r="F2330" s="48" t="s">
        <v>982</v>
      </c>
      <c r="G2330" s="49">
        <v>120147003633</v>
      </c>
      <c r="H2330" s="47"/>
      <c r="I2330" s="40"/>
      <c r="J2330" s="40">
        <v>1031</v>
      </c>
      <c r="K2330" s="20">
        <v>2015</v>
      </c>
      <c r="L2330" s="20">
        <v>68.37</v>
      </c>
      <c r="M2330" s="110">
        <f>IF(L2330="",I2330,(MIN(J2330,(L2330*1.6*J2330))))</f>
        <v>1031</v>
      </c>
      <c r="N2330" s="111">
        <f>IF(M2330=0,0,(M2330/J2330))</f>
        <v>1</v>
      </c>
    </row>
    <row r="2331" spans="2:14">
      <c r="B2331" s="72">
        <v>127889</v>
      </c>
      <c r="C2331" s="47" t="s">
        <v>972</v>
      </c>
      <c r="D2331" s="123">
        <f>SUMIF(B$3:B$3844,B2331,M$3:M$3844)/(SUMIF(B$3:B$3844,B2331,J$3:J$3844))</f>
        <v>0.77847489432681916</v>
      </c>
      <c r="E2331" s="47">
        <v>16059955</v>
      </c>
      <c r="F2331" s="48" t="s">
        <v>983</v>
      </c>
      <c r="G2331" s="49">
        <v>120147007895</v>
      </c>
      <c r="H2331" s="47"/>
      <c r="I2331" s="40"/>
      <c r="J2331" s="40">
        <v>1028</v>
      </c>
      <c r="K2331" s="20">
        <v>2015</v>
      </c>
      <c r="L2331" s="20">
        <v>53.03</v>
      </c>
      <c r="M2331" s="110">
        <f>IF(L2331="",I2331,(MIN(J2331,(L2331*1.6*J2331))))</f>
        <v>1028</v>
      </c>
      <c r="N2331" s="111">
        <f>IF(M2331=0,0,(M2331/J2331))</f>
        <v>1</v>
      </c>
    </row>
    <row r="2332" spans="2:14">
      <c r="B2332" s="73">
        <v>127889</v>
      </c>
      <c r="C2332" s="23" t="s">
        <v>972</v>
      </c>
      <c r="D2332" s="123">
        <f>SUMIF(B$3:B$3844,B2332,M$3:M$3844)/(SUMIF(B$3:B$3844,B2332,J$3:J$3844))</f>
        <v>0.77847489432681916</v>
      </c>
      <c r="E2332" s="47">
        <v>16042371</v>
      </c>
      <c r="F2332" s="48" t="s">
        <v>984</v>
      </c>
      <c r="G2332" s="49">
        <v>120147005055</v>
      </c>
      <c r="H2332" s="47"/>
      <c r="I2332" s="40"/>
      <c r="J2332" s="40">
        <v>834</v>
      </c>
      <c r="K2332" s="20">
        <v>2015</v>
      </c>
      <c r="L2332" s="20">
        <v>63.32</v>
      </c>
      <c r="M2332" s="110">
        <f>IF(L2332="",I2332,(MIN(J2332,(L2332*1.6*J2332))))</f>
        <v>834</v>
      </c>
      <c r="N2332" s="111">
        <f>IF(M2332=0,0,(M2332/J2332))</f>
        <v>1</v>
      </c>
    </row>
    <row r="2333" spans="2:14">
      <c r="B2333" s="72">
        <v>127889</v>
      </c>
      <c r="C2333" s="47" t="s">
        <v>972</v>
      </c>
      <c r="D2333" s="123">
        <f>SUMIF(B$3:B$3844,B2333,M$3:M$3844)/(SUMIF(B$3:B$3844,B2333,J$3:J$3844))</f>
        <v>0.77847489432681916</v>
      </c>
      <c r="E2333" s="47">
        <v>38748</v>
      </c>
      <c r="F2333" s="48" t="s">
        <v>985</v>
      </c>
      <c r="G2333" s="49">
        <v>120147002476</v>
      </c>
      <c r="H2333" s="47"/>
      <c r="I2333" s="40">
        <v>1873</v>
      </c>
      <c r="J2333" s="40">
        <v>2554</v>
      </c>
      <c r="K2333" s="20"/>
      <c r="L2333" s="20"/>
      <c r="M2333" s="110">
        <f>IF(L2333="",I2333,(MIN(J2333,(L2333*1.6*J2333))))</f>
        <v>1873</v>
      </c>
      <c r="N2333" s="111">
        <f>IF(M2333=0,0,(M2333/J2333))</f>
        <v>0.73335943617854349</v>
      </c>
    </row>
    <row r="2334" spans="2:14">
      <c r="B2334" s="73">
        <v>127889</v>
      </c>
      <c r="C2334" s="23" t="s">
        <v>972</v>
      </c>
      <c r="D2334" s="123">
        <f>SUMIF(B$3:B$3844,B2334,M$3:M$3844)/(SUMIF(B$3:B$3844,B2334,J$3:J$3844))</f>
        <v>0.77847489432681916</v>
      </c>
      <c r="E2334" s="47">
        <v>16045550</v>
      </c>
      <c r="F2334" s="48" t="s">
        <v>986</v>
      </c>
      <c r="G2334" s="49">
        <v>120147007630</v>
      </c>
      <c r="H2334" s="47"/>
      <c r="I2334" s="40">
        <v>321</v>
      </c>
      <c r="J2334" s="40">
        <v>894</v>
      </c>
      <c r="K2334" s="20"/>
      <c r="L2334" s="20"/>
      <c r="M2334" s="110">
        <f>IF(L2334="",I2334,(MIN(J2334,(L2334*1.6*J2334))))</f>
        <v>321</v>
      </c>
      <c r="N2334" s="111">
        <f>IF(M2334=0,0,(M2334/J2334))</f>
        <v>0.35906040268456374</v>
      </c>
    </row>
    <row r="2335" spans="2:14">
      <c r="B2335" s="72">
        <v>127889</v>
      </c>
      <c r="C2335" s="47" t="s">
        <v>972</v>
      </c>
      <c r="D2335" s="123">
        <f>SUMIF(B$3:B$3844,B2335,M$3:M$3844)/(SUMIF(B$3:B$3844,B2335,J$3:J$3844))</f>
        <v>0.77847489432681916</v>
      </c>
      <c r="E2335" s="47">
        <v>16020897</v>
      </c>
      <c r="F2335" s="48" t="s">
        <v>987</v>
      </c>
      <c r="G2335" s="49">
        <v>120147004013</v>
      </c>
      <c r="H2335" s="47"/>
      <c r="I2335" s="40">
        <v>867</v>
      </c>
      <c r="J2335" s="40">
        <v>1973</v>
      </c>
      <c r="K2335" s="20"/>
      <c r="L2335" s="20"/>
      <c r="M2335" s="110">
        <f>IF(L2335="",I2335,(MIN(J2335,(L2335*1.6*J2335))))</f>
        <v>867</v>
      </c>
      <c r="N2335" s="111">
        <f>IF(M2335=0,0,(M2335/J2335))</f>
        <v>0.43943233654333502</v>
      </c>
    </row>
    <row r="2336" spans="2:14">
      <c r="B2336" s="73">
        <v>127889</v>
      </c>
      <c r="C2336" s="23" t="s">
        <v>972</v>
      </c>
      <c r="D2336" s="123">
        <f>SUMIF(B$3:B$3844,B2336,M$3:M$3844)/(SUMIF(B$3:B$3844,B2336,J$3:J$3844))</f>
        <v>0.77847489432681916</v>
      </c>
      <c r="E2336" s="47">
        <v>38779</v>
      </c>
      <c r="F2336" s="48" t="s">
        <v>988</v>
      </c>
      <c r="G2336" s="49">
        <v>120147002448</v>
      </c>
      <c r="H2336" s="47"/>
      <c r="I2336" s="40">
        <v>407</v>
      </c>
      <c r="J2336" s="40">
        <v>715</v>
      </c>
      <c r="K2336" s="20"/>
      <c r="L2336" s="20"/>
      <c r="M2336" s="110">
        <f>IF(L2336="",I2336,(MIN(J2336,(L2336*1.6*J2336))))</f>
        <v>407</v>
      </c>
      <c r="N2336" s="111">
        <f>IF(M2336=0,0,(M2336/J2336))</f>
        <v>0.56923076923076921</v>
      </c>
    </row>
    <row r="2337" spans="2:14">
      <c r="B2337" s="72">
        <v>127889</v>
      </c>
      <c r="C2337" s="47" t="s">
        <v>972</v>
      </c>
      <c r="D2337" s="123">
        <f>SUMIF(B$3:B$3844,B2337,M$3:M$3844)/(SUMIF(B$3:B$3844,B2337,J$3:J$3844))</f>
        <v>0.77847489432681916</v>
      </c>
      <c r="E2337" s="47">
        <v>38732</v>
      </c>
      <c r="F2337" s="48" t="s">
        <v>672</v>
      </c>
      <c r="G2337" s="49">
        <v>120147001468</v>
      </c>
      <c r="H2337" s="47"/>
      <c r="I2337" s="40"/>
      <c r="J2337" s="40">
        <v>867</v>
      </c>
      <c r="K2337" s="20">
        <v>2015</v>
      </c>
      <c r="L2337" s="20">
        <v>73.099999999999994</v>
      </c>
      <c r="M2337" s="110">
        <f>IF(L2337="",I2337,(MIN(J2337,(L2337*1.6*J2337))))</f>
        <v>867</v>
      </c>
      <c r="N2337" s="111">
        <f>IF(M2337=0,0,(M2337/J2337))</f>
        <v>1</v>
      </c>
    </row>
    <row r="2338" spans="2:14">
      <c r="B2338" s="73">
        <v>127889</v>
      </c>
      <c r="C2338" s="23" t="s">
        <v>972</v>
      </c>
      <c r="D2338" s="123">
        <f>SUMIF(B$3:B$3844,B2338,M$3:M$3844)/(SUMIF(B$3:B$3844,B2338,J$3:J$3844))</f>
        <v>0.77847489432681916</v>
      </c>
      <c r="E2338" s="47">
        <v>38752</v>
      </c>
      <c r="F2338" s="48" t="s">
        <v>989</v>
      </c>
      <c r="G2338" s="49">
        <v>120147003008</v>
      </c>
      <c r="H2338" s="47"/>
      <c r="I2338" s="40">
        <v>886</v>
      </c>
      <c r="J2338" s="40">
        <v>1236</v>
      </c>
      <c r="K2338" s="20"/>
      <c r="L2338" s="20"/>
      <c r="M2338" s="110">
        <f>IF(L2338="",I2338,(MIN(J2338,(L2338*1.6*J2338))))</f>
        <v>886</v>
      </c>
      <c r="N2338" s="111">
        <f>IF(M2338=0,0,(M2338/J2338))</f>
        <v>0.71682847896440127</v>
      </c>
    </row>
    <row r="2339" spans="2:14">
      <c r="B2339" s="72">
        <v>127889</v>
      </c>
      <c r="C2339" s="47" t="s">
        <v>972</v>
      </c>
      <c r="D2339" s="123">
        <f>SUMIF(B$3:B$3844,B2339,M$3:M$3844)/(SUMIF(B$3:B$3844,B2339,J$3:J$3844))</f>
        <v>0.77847489432681916</v>
      </c>
      <c r="E2339" s="47">
        <v>222490</v>
      </c>
      <c r="F2339" s="48" t="s">
        <v>990</v>
      </c>
      <c r="G2339" s="49">
        <v>120147004398</v>
      </c>
      <c r="H2339" s="47"/>
      <c r="I2339" s="40"/>
      <c r="J2339" s="40">
        <v>886</v>
      </c>
      <c r="K2339" s="20">
        <v>2015</v>
      </c>
      <c r="L2339" s="20">
        <v>74.319999999999993</v>
      </c>
      <c r="M2339" s="110">
        <f>IF(L2339="",I2339,(MIN(J2339,(L2339*1.6*J2339))))</f>
        <v>886</v>
      </c>
      <c r="N2339" s="111">
        <f>IF(M2339=0,0,(M2339/J2339))</f>
        <v>1</v>
      </c>
    </row>
    <row r="2340" spans="2:14">
      <c r="B2340" s="73">
        <v>127889</v>
      </c>
      <c r="C2340" s="23" t="s">
        <v>972</v>
      </c>
      <c r="D2340" s="123">
        <f>SUMIF(B$3:B$3844,B2340,M$3:M$3844)/(SUMIF(B$3:B$3844,B2340,J$3:J$3844))</f>
        <v>0.77847489432681916</v>
      </c>
      <c r="E2340" s="47">
        <v>38731</v>
      </c>
      <c r="F2340" s="48" t="s">
        <v>991</v>
      </c>
      <c r="G2340" s="49">
        <v>120147003097</v>
      </c>
      <c r="H2340" s="47"/>
      <c r="I2340" s="40"/>
      <c r="J2340" s="40">
        <v>1258</v>
      </c>
      <c r="K2340" s="20">
        <v>2015</v>
      </c>
      <c r="L2340" s="20">
        <v>68.37</v>
      </c>
      <c r="M2340" s="110">
        <f>IF(L2340="",I2340,(MIN(J2340,(L2340*1.6*J2340))))</f>
        <v>1258</v>
      </c>
      <c r="N2340" s="111">
        <f>IF(M2340=0,0,(M2340/J2340))</f>
        <v>1</v>
      </c>
    </row>
    <row r="2341" spans="2:14">
      <c r="B2341" s="72">
        <v>127889</v>
      </c>
      <c r="C2341" s="47" t="s">
        <v>972</v>
      </c>
      <c r="D2341" s="123">
        <f>SUMIF(B$3:B$3844,B2341,M$3:M$3844)/(SUMIF(B$3:B$3844,B2341,J$3:J$3844))</f>
        <v>0.77847489432681916</v>
      </c>
      <c r="E2341" s="47">
        <v>16050545</v>
      </c>
      <c r="F2341" s="48" t="s">
        <v>992</v>
      </c>
      <c r="G2341" s="49">
        <v>120147007621</v>
      </c>
      <c r="H2341" s="47"/>
      <c r="I2341" s="40"/>
      <c r="J2341" s="40">
        <v>764</v>
      </c>
      <c r="K2341" s="20">
        <v>2015</v>
      </c>
      <c r="L2341" s="20">
        <v>71.180000000000007</v>
      </c>
      <c r="M2341" s="110">
        <f>IF(L2341="",I2341,(MIN(J2341,(L2341*1.6*J2341))))</f>
        <v>764</v>
      </c>
      <c r="N2341" s="111">
        <f>IF(M2341=0,0,(M2341/J2341))</f>
        <v>1</v>
      </c>
    </row>
    <row r="2342" spans="2:14">
      <c r="B2342" s="73">
        <v>127889</v>
      </c>
      <c r="C2342" s="23" t="s">
        <v>972</v>
      </c>
      <c r="D2342" s="123">
        <f>SUMIF(B$3:B$3844,B2342,M$3:M$3844)/(SUMIF(B$3:B$3844,B2342,J$3:J$3844))</f>
        <v>0.77847489432681916</v>
      </c>
      <c r="E2342" s="47">
        <v>38774</v>
      </c>
      <c r="F2342" s="48" t="s">
        <v>373</v>
      </c>
      <c r="G2342" s="49">
        <v>120147002576</v>
      </c>
      <c r="H2342" s="47"/>
      <c r="I2342" s="40"/>
      <c r="J2342" s="40">
        <v>750</v>
      </c>
      <c r="K2342" s="20">
        <v>2015</v>
      </c>
      <c r="L2342" s="20">
        <v>61.51</v>
      </c>
      <c r="M2342" s="110">
        <f>IF(L2342="",I2342,(MIN(J2342,(L2342*1.6*J2342))))</f>
        <v>750</v>
      </c>
      <c r="N2342" s="111">
        <f>IF(M2342=0,0,(M2342/J2342))</f>
        <v>1</v>
      </c>
    </row>
    <row r="2343" spans="2:14">
      <c r="B2343" s="72">
        <v>127889</v>
      </c>
      <c r="C2343" s="47" t="s">
        <v>972</v>
      </c>
      <c r="D2343" s="123">
        <f>SUMIF(B$3:B$3844,B2343,M$3:M$3844)/(SUMIF(B$3:B$3844,B2343,J$3:J$3844))</f>
        <v>0.77847489432681916</v>
      </c>
      <c r="E2343" s="47">
        <v>16041279</v>
      </c>
      <c r="F2343" s="48" t="s">
        <v>993</v>
      </c>
      <c r="G2343" s="49">
        <v>120147007417</v>
      </c>
      <c r="H2343" s="47"/>
      <c r="I2343" s="40">
        <v>1553</v>
      </c>
      <c r="J2343" s="40">
        <v>2101</v>
      </c>
      <c r="K2343" s="20"/>
      <c r="L2343" s="20"/>
      <c r="M2343" s="110">
        <f>IF(L2343="",I2343,(MIN(J2343,(L2343*1.6*J2343))))</f>
        <v>1553</v>
      </c>
      <c r="N2343" s="111">
        <f>IF(M2343=0,0,(M2343/J2343))</f>
        <v>0.73917182294145645</v>
      </c>
    </row>
    <row r="2344" spans="2:14">
      <c r="B2344" s="73">
        <v>127889</v>
      </c>
      <c r="C2344" s="23" t="s">
        <v>972</v>
      </c>
      <c r="D2344" s="123">
        <f>SUMIF(B$3:B$3844,B2344,M$3:M$3844)/(SUMIF(B$3:B$3844,B2344,J$3:J$3844))</f>
        <v>0.77847489432681916</v>
      </c>
      <c r="E2344" s="47">
        <v>38776</v>
      </c>
      <c r="F2344" s="48" t="s">
        <v>994</v>
      </c>
      <c r="G2344" s="49">
        <v>120147001474</v>
      </c>
      <c r="H2344" s="47"/>
      <c r="I2344" s="40"/>
      <c r="J2344" s="40">
        <v>647</v>
      </c>
      <c r="K2344" s="20">
        <v>2015</v>
      </c>
      <c r="L2344" s="20">
        <v>59.53</v>
      </c>
      <c r="M2344" s="110">
        <f>IF(L2344="",I2344,(MIN(J2344,(L2344*1.6*J2344))))</f>
        <v>647</v>
      </c>
      <c r="N2344" s="111">
        <f>IF(M2344=0,0,(M2344/J2344))</f>
        <v>1</v>
      </c>
    </row>
    <row r="2345" spans="2:14">
      <c r="B2345" s="72">
        <v>127889</v>
      </c>
      <c r="C2345" s="47" t="s">
        <v>972</v>
      </c>
      <c r="D2345" s="123">
        <f>SUMIF(B$3:B$3844,B2345,M$3:M$3844)/(SUMIF(B$3:B$3844,B2345,J$3:J$3844))</f>
        <v>0.77847489432681916</v>
      </c>
      <c r="E2345" s="47">
        <v>38745</v>
      </c>
      <c r="F2345" s="48" t="s">
        <v>995</v>
      </c>
      <c r="G2345" s="49">
        <v>120147002575</v>
      </c>
      <c r="H2345" s="47"/>
      <c r="I2345" s="40"/>
      <c r="J2345" s="40">
        <v>1018</v>
      </c>
      <c r="K2345" s="20">
        <v>2015</v>
      </c>
      <c r="L2345" s="20">
        <v>66.989999999999995</v>
      </c>
      <c r="M2345" s="110">
        <f>IF(L2345="",I2345,(MIN(J2345,(L2345*1.6*J2345))))</f>
        <v>1018</v>
      </c>
      <c r="N2345" s="111">
        <f>IF(M2345=0,0,(M2345/J2345))</f>
        <v>1</v>
      </c>
    </row>
    <row r="2346" spans="2:14">
      <c r="B2346" s="73">
        <v>127889</v>
      </c>
      <c r="C2346" s="23" t="s">
        <v>972</v>
      </c>
      <c r="D2346" s="123">
        <f>SUMIF(B$3:B$3844,B2346,M$3:M$3844)/(SUMIF(B$3:B$3844,B2346,J$3:J$3844))</f>
        <v>0.77847489432681916</v>
      </c>
      <c r="E2346" s="47">
        <v>16050546</v>
      </c>
      <c r="F2346" s="48" t="s">
        <v>996</v>
      </c>
      <c r="G2346" s="49">
        <v>120147007498</v>
      </c>
      <c r="H2346" s="47"/>
      <c r="I2346" s="40">
        <v>380</v>
      </c>
      <c r="J2346" s="40">
        <v>874</v>
      </c>
      <c r="K2346" s="20"/>
      <c r="L2346" s="20"/>
      <c r="M2346" s="110">
        <f>IF(L2346="",I2346,(MIN(J2346,(L2346*1.6*J2346))))</f>
        <v>380</v>
      </c>
      <c r="N2346" s="111">
        <f>IF(M2346=0,0,(M2346/J2346))</f>
        <v>0.43478260869565216</v>
      </c>
    </row>
    <row r="2347" spans="2:14">
      <c r="B2347" s="72">
        <v>127889</v>
      </c>
      <c r="C2347" s="47" t="s">
        <v>972</v>
      </c>
      <c r="D2347" s="123">
        <f>SUMIF(B$3:B$3844,B2347,M$3:M$3844)/(SUMIF(B$3:B$3844,B2347,J$3:J$3844))</f>
        <v>0.77847489432681916</v>
      </c>
      <c r="E2347" s="47">
        <v>205214</v>
      </c>
      <c r="F2347" s="48" t="s">
        <v>997</v>
      </c>
      <c r="G2347" s="49">
        <v>120147003632</v>
      </c>
      <c r="H2347" s="47"/>
      <c r="I2347" s="40">
        <v>613</v>
      </c>
      <c r="J2347" s="40">
        <v>1175</v>
      </c>
      <c r="K2347" s="20"/>
      <c r="L2347" s="20"/>
      <c r="M2347" s="110">
        <f>IF(L2347="",I2347,(MIN(J2347,(L2347*1.6*J2347))))</f>
        <v>613</v>
      </c>
      <c r="N2347" s="111">
        <f>IF(M2347=0,0,(M2347/J2347))</f>
        <v>0.52170212765957447</v>
      </c>
    </row>
    <row r="2348" spans="2:14">
      <c r="B2348" s="73">
        <v>127889</v>
      </c>
      <c r="C2348" s="23" t="s">
        <v>972</v>
      </c>
      <c r="D2348" s="123">
        <f>SUMIF(B$3:B$3844,B2348,M$3:M$3844)/(SUMIF(B$3:B$3844,B2348,J$3:J$3844))</f>
        <v>0.77847489432681916</v>
      </c>
      <c r="E2348" s="47">
        <v>16042370</v>
      </c>
      <c r="F2348" s="48" t="s">
        <v>998</v>
      </c>
      <c r="G2348" s="49">
        <v>120147007373</v>
      </c>
      <c r="H2348" s="47"/>
      <c r="I2348" s="40"/>
      <c r="J2348" s="40">
        <v>980</v>
      </c>
      <c r="K2348" s="20">
        <v>2015</v>
      </c>
      <c r="L2348" s="20">
        <v>60.87</v>
      </c>
      <c r="M2348" s="110">
        <f>IF(L2348="",I2348,(MIN(J2348,(L2348*1.6*J2348))))</f>
        <v>980</v>
      </c>
      <c r="N2348" s="111">
        <f>IF(M2348=0,0,(M2348/J2348))</f>
        <v>1</v>
      </c>
    </row>
    <row r="2349" spans="2:14">
      <c r="B2349" s="72">
        <v>127889</v>
      </c>
      <c r="C2349" s="47" t="s">
        <v>972</v>
      </c>
      <c r="D2349" s="123">
        <f>SUMIF(B$3:B$3844,B2349,M$3:M$3844)/(SUMIF(B$3:B$3844,B2349,J$3:J$3844))</f>
        <v>0.77847489432681916</v>
      </c>
      <c r="E2349" s="47">
        <v>38751</v>
      </c>
      <c r="F2349" s="48" t="s">
        <v>999</v>
      </c>
      <c r="G2349" s="49">
        <v>120147002672</v>
      </c>
      <c r="H2349" s="47"/>
      <c r="I2349" s="40">
        <v>882</v>
      </c>
      <c r="J2349" s="40">
        <v>1316</v>
      </c>
      <c r="K2349" s="20"/>
      <c r="L2349" s="20"/>
      <c r="M2349" s="110">
        <f>IF(L2349="",I2349,(MIN(J2349,(L2349*1.6*J2349))))</f>
        <v>882</v>
      </c>
      <c r="N2349" s="111">
        <f>IF(M2349=0,0,(M2349/J2349))</f>
        <v>0.67021276595744683</v>
      </c>
    </row>
    <row r="2350" spans="2:14">
      <c r="B2350" s="73">
        <v>127889</v>
      </c>
      <c r="C2350" s="23" t="s">
        <v>972</v>
      </c>
      <c r="D2350" s="123">
        <f>SUMIF(B$3:B$3844,B2350,M$3:M$3844)/(SUMIF(B$3:B$3844,B2350,J$3:J$3844))</f>
        <v>0.77847489432681916</v>
      </c>
      <c r="E2350" s="47">
        <v>228366</v>
      </c>
      <c r="F2350" s="48" t="s">
        <v>1000</v>
      </c>
      <c r="G2350" s="49">
        <v>120147003222</v>
      </c>
      <c r="H2350" s="47"/>
      <c r="I2350" s="40"/>
      <c r="J2350" s="40">
        <v>190</v>
      </c>
      <c r="K2350" s="20">
        <v>2015</v>
      </c>
      <c r="L2350" s="20">
        <v>74.819999999999993</v>
      </c>
      <c r="M2350" s="110">
        <f>IF(L2350="",I2350,(MIN(J2350,(L2350*1.6*J2350))))</f>
        <v>190</v>
      </c>
      <c r="N2350" s="111">
        <f>IF(M2350=0,0,(M2350/J2350))</f>
        <v>1</v>
      </c>
    </row>
    <row r="2351" spans="2:14">
      <c r="B2351" s="72">
        <v>127889</v>
      </c>
      <c r="C2351" s="47" t="s">
        <v>972</v>
      </c>
      <c r="D2351" s="123">
        <f>SUMIF(B$3:B$3844,B2351,M$3:M$3844)/(SUMIF(B$3:B$3844,B2351,J$3:J$3844))</f>
        <v>0.77847489432681916</v>
      </c>
      <c r="E2351" s="47">
        <v>16081224</v>
      </c>
      <c r="F2351" s="48" t="s">
        <v>1001</v>
      </c>
      <c r="G2351" s="49">
        <v>120147008295</v>
      </c>
      <c r="H2351" s="47"/>
      <c r="I2351" s="40">
        <v>1</v>
      </c>
      <c r="J2351" s="40">
        <v>31</v>
      </c>
      <c r="K2351" s="20"/>
      <c r="L2351" s="20"/>
      <c r="M2351" s="110">
        <f>IF(L2351="",I2351,(MIN(J2351,(L2351*1.6*J2351))))</f>
        <v>1</v>
      </c>
      <c r="N2351" s="111">
        <f>IF(M2351=0,0,(M2351/J2351))</f>
        <v>3.2258064516129031E-2</v>
      </c>
    </row>
    <row r="2352" spans="2:14">
      <c r="B2352" s="73">
        <v>127889</v>
      </c>
      <c r="C2352" s="23" t="s">
        <v>972</v>
      </c>
      <c r="D2352" s="123">
        <f>SUMIF(B$3:B$3844,B2352,M$3:M$3844)/(SUMIF(B$3:B$3844,B2352,J$3:J$3844))</f>
        <v>0.77847489432681916</v>
      </c>
      <c r="E2352" s="47">
        <v>38775</v>
      </c>
      <c r="F2352" s="48" t="s">
        <v>1002</v>
      </c>
      <c r="G2352" s="49">
        <v>120147007641</v>
      </c>
      <c r="H2352" s="47"/>
      <c r="I2352" s="40"/>
      <c r="J2352" s="40">
        <v>0</v>
      </c>
      <c r="K2352" s="20"/>
      <c r="L2352" s="20"/>
      <c r="M2352" s="110">
        <f>IF(L2352="",I2352,(MIN(J2352,(L2352*1.6*J2352))))</f>
        <v>0</v>
      </c>
      <c r="N2352" s="111">
        <f>IF(M2352=0,0,(M2352/J2352))</f>
        <v>0</v>
      </c>
    </row>
    <row r="2353" spans="2:14">
      <c r="B2353" s="72">
        <v>127889</v>
      </c>
      <c r="C2353" s="47" t="s">
        <v>972</v>
      </c>
      <c r="D2353" s="123">
        <f>SUMIF(B$3:B$3844,B2353,M$3:M$3844)/(SUMIF(B$3:B$3844,B2353,J$3:J$3844))</f>
        <v>0.77847489432681916</v>
      </c>
      <c r="E2353" s="47">
        <v>15341525</v>
      </c>
      <c r="F2353" s="48" t="s">
        <v>1003</v>
      </c>
      <c r="G2353" s="49">
        <v>120147004119</v>
      </c>
      <c r="H2353" s="47"/>
      <c r="I2353" s="40">
        <v>458</v>
      </c>
      <c r="J2353" s="40">
        <v>952</v>
      </c>
      <c r="K2353" s="20"/>
      <c r="L2353" s="20"/>
      <c r="M2353" s="110">
        <f>IF(L2353="",I2353,(MIN(J2353,(L2353*1.6*J2353))))</f>
        <v>458</v>
      </c>
      <c r="N2353" s="111">
        <f>IF(M2353=0,0,(M2353/J2353))</f>
        <v>0.48109243697478993</v>
      </c>
    </row>
    <row r="2354" spans="2:14">
      <c r="B2354" s="73">
        <v>127889</v>
      </c>
      <c r="C2354" s="23" t="s">
        <v>972</v>
      </c>
      <c r="D2354" s="123">
        <f>SUMIF(B$3:B$3844,B2354,M$3:M$3844)/(SUMIF(B$3:B$3844,B2354,J$3:J$3844))</f>
        <v>0.77847489432681916</v>
      </c>
      <c r="E2354" s="47">
        <v>16020898</v>
      </c>
      <c r="F2354" s="48" t="s">
        <v>1004</v>
      </c>
      <c r="G2354" s="49">
        <v>1201470</v>
      </c>
      <c r="H2354" s="47"/>
      <c r="I2354" s="40"/>
      <c r="J2354" s="40" t="s">
        <v>264</v>
      </c>
      <c r="K2354" s="20"/>
      <c r="L2354" s="20"/>
      <c r="M2354" s="110">
        <f>IF(L2354="",I2354,(MIN(J2354,(L2354*1.6*J2354))))</f>
        <v>0</v>
      </c>
      <c r="N2354" s="111">
        <f>IF(M2354=0,0,(M2354/J2354))</f>
        <v>0</v>
      </c>
    </row>
    <row r="2355" spans="2:14">
      <c r="B2355" s="72">
        <v>127889</v>
      </c>
      <c r="C2355" s="47" t="s">
        <v>972</v>
      </c>
      <c r="D2355" s="123">
        <f>SUMIF(B$3:B$3844,B2355,M$3:M$3844)/(SUMIF(B$3:B$3844,B2355,J$3:J$3844))</f>
        <v>0.77847489432681916</v>
      </c>
      <c r="E2355" s="47">
        <v>38737</v>
      </c>
      <c r="F2355" s="48" t="s">
        <v>1005</v>
      </c>
      <c r="G2355" s="49">
        <v>120147001469</v>
      </c>
      <c r="H2355" s="47"/>
      <c r="I2355" s="40">
        <v>2064</v>
      </c>
      <c r="J2355" s="40">
        <v>2806</v>
      </c>
      <c r="K2355" s="20"/>
      <c r="L2355" s="20"/>
      <c r="M2355" s="110">
        <f>IF(L2355="",I2355,(MIN(J2355,(L2355*1.6*J2355))))</f>
        <v>2064</v>
      </c>
      <c r="N2355" s="111">
        <f>IF(M2355=0,0,(M2355/J2355))</f>
        <v>0.73556664290805418</v>
      </c>
    </row>
    <row r="2356" spans="2:14" ht="30">
      <c r="B2356" s="73">
        <v>127889</v>
      </c>
      <c r="C2356" s="23" t="s">
        <v>972</v>
      </c>
      <c r="D2356" s="123">
        <f>SUMIF(B$3:B$3844,B2356,M$3:M$3844)/(SUMIF(B$3:B$3844,B2356,J$3:J$3844))</f>
        <v>0.77847489432681916</v>
      </c>
      <c r="E2356" s="47">
        <v>222654</v>
      </c>
      <c r="F2356" s="48" t="s">
        <v>1006</v>
      </c>
      <c r="G2356" s="49">
        <v>120147003888</v>
      </c>
      <c r="H2356" s="47"/>
      <c r="I2356" s="40"/>
      <c r="J2356" s="40">
        <v>15</v>
      </c>
      <c r="K2356" s="20"/>
      <c r="L2356" s="20"/>
      <c r="M2356" s="110">
        <f>IF(L2356="",I2356,(MIN(J2356,(L2356*1.6*J2356))))</f>
        <v>0</v>
      </c>
      <c r="N2356" s="111">
        <f>IF(M2356=0,0,(M2356/J2356))</f>
        <v>0</v>
      </c>
    </row>
    <row r="2357" spans="2:14">
      <c r="B2357" s="72">
        <v>127889</v>
      </c>
      <c r="C2357" s="47" t="s">
        <v>972</v>
      </c>
      <c r="D2357" s="123">
        <f>SUMIF(B$3:B$3844,B2357,M$3:M$3844)/(SUMIF(B$3:B$3844,B2357,J$3:J$3844))</f>
        <v>0.77847489432681916</v>
      </c>
      <c r="E2357" s="47">
        <v>17003764</v>
      </c>
      <c r="F2357" s="48" t="s">
        <v>1007</v>
      </c>
      <c r="G2357" s="49">
        <v>120147005802</v>
      </c>
      <c r="H2357" s="47"/>
      <c r="I2357" s="40">
        <v>37</v>
      </c>
      <c r="J2357" s="40">
        <v>84</v>
      </c>
      <c r="K2357" s="20"/>
      <c r="L2357" s="20"/>
      <c r="M2357" s="110">
        <f>IF(L2357="",I2357,(MIN(J2357,(L2357*1.6*J2357))))</f>
        <v>37</v>
      </c>
      <c r="N2357" s="111">
        <f>IF(M2357=0,0,(M2357/J2357))</f>
        <v>0.44047619047619047</v>
      </c>
    </row>
    <row r="2358" spans="2:14">
      <c r="B2358" s="72">
        <v>127889</v>
      </c>
      <c r="C2358" s="47" t="s">
        <v>972</v>
      </c>
      <c r="D2358" s="123">
        <f>SUMIF(B$3:B$3844,B2358,M$3:M$3844)/(SUMIF(B$3:B$3844,B2358,J$3:J$3844))</f>
        <v>0.77847489432681916</v>
      </c>
      <c r="E2358" s="47">
        <v>17003765</v>
      </c>
      <c r="F2358" s="48" t="s">
        <v>1008</v>
      </c>
      <c r="G2358" s="49">
        <v>120147007537</v>
      </c>
      <c r="H2358" s="47"/>
      <c r="I2358" s="40">
        <v>26</v>
      </c>
      <c r="J2358" s="40">
        <v>74</v>
      </c>
      <c r="K2358" s="20"/>
      <c r="L2358" s="20"/>
      <c r="M2358" s="110">
        <f>IF(L2358="",I2358,(MIN(J2358,(L2358*1.6*J2358))))</f>
        <v>26</v>
      </c>
      <c r="N2358" s="111">
        <f>IF(M2358=0,0,(M2358/J2358))</f>
        <v>0.35135135135135137</v>
      </c>
    </row>
    <row r="2359" spans="2:14">
      <c r="B2359" s="73">
        <v>127889</v>
      </c>
      <c r="C2359" s="23" t="s">
        <v>972</v>
      </c>
      <c r="D2359" s="123">
        <f>SUMIF(B$3:B$3844,B2359,M$3:M$3844)/(SUMIF(B$3:B$3844,B2359,J$3:J$3844))</f>
        <v>0.77847489432681916</v>
      </c>
      <c r="E2359" s="47">
        <v>38743</v>
      </c>
      <c r="F2359" s="48" t="s">
        <v>164</v>
      </c>
      <c r="G2359" s="49">
        <v>120147002623</v>
      </c>
      <c r="H2359" s="47"/>
      <c r="I2359" s="40"/>
      <c r="J2359" s="40">
        <v>864</v>
      </c>
      <c r="K2359" s="20">
        <v>2015</v>
      </c>
      <c r="L2359" s="20">
        <v>61.34</v>
      </c>
      <c r="M2359" s="110">
        <f>IF(L2359="",I2359,(MIN(J2359,(L2359*1.6*J2359))))</f>
        <v>864</v>
      </c>
      <c r="N2359" s="111">
        <f>IF(M2359=0,0,(M2359/J2359))</f>
        <v>1</v>
      </c>
    </row>
    <row r="2360" spans="2:14">
      <c r="B2360" s="72">
        <v>127889</v>
      </c>
      <c r="C2360" s="47" t="s">
        <v>972</v>
      </c>
      <c r="D2360" s="123">
        <f>SUMIF(B$3:B$3844,B2360,M$3:M$3844)/(SUMIF(B$3:B$3844,B2360,J$3:J$3844))</f>
        <v>0.77847489432681916</v>
      </c>
      <c r="E2360" s="47">
        <v>228473</v>
      </c>
      <c r="F2360" s="48" t="s">
        <v>1009</v>
      </c>
      <c r="G2360" s="49">
        <v>120147003890</v>
      </c>
      <c r="H2360" s="47"/>
      <c r="I2360" s="40">
        <v>547</v>
      </c>
      <c r="J2360" s="40">
        <v>863</v>
      </c>
      <c r="K2360" s="20"/>
      <c r="L2360" s="20"/>
      <c r="M2360" s="110">
        <f>IF(L2360="",I2360,(MIN(J2360,(L2360*1.6*J2360))))</f>
        <v>547</v>
      </c>
      <c r="N2360" s="111">
        <f>IF(M2360=0,0,(M2360/J2360))</f>
        <v>0.63383545770567784</v>
      </c>
    </row>
    <row r="2361" spans="2:14">
      <c r="B2361" s="73">
        <v>127889</v>
      </c>
      <c r="C2361" s="23" t="s">
        <v>972</v>
      </c>
      <c r="D2361" s="123">
        <f>SUMIF(B$3:B$3844,B2361,M$3:M$3844)/(SUMIF(B$3:B$3844,B2361,J$3:J$3844))</f>
        <v>0.77847489432681916</v>
      </c>
      <c r="E2361" s="47">
        <v>38738</v>
      </c>
      <c r="F2361" s="48" t="s">
        <v>1010</v>
      </c>
      <c r="G2361" s="49">
        <v>120147002622</v>
      </c>
      <c r="H2361" s="47"/>
      <c r="I2361" s="40"/>
      <c r="J2361" s="40">
        <v>967</v>
      </c>
      <c r="K2361" s="20">
        <v>2015</v>
      </c>
      <c r="L2361" s="20">
        <v>61.84</v>
      </c>
      <c r="M2361" s="110">
        <f>IF(L2361="",I2361,(MIN(J2361,(L2361*1.6*J2361))))</f>
        <v>967</v>
      </c>
      <c r="N2361" s="111">
        <f>IF(M2361=0,0,(M2361/J2361))</f>
        <v>1</v>
      </c>
    </row>
    <row r="2362" spans="2:14">
      <c r="B2362" s="72">
        <v>127889</v>
      </c>
      <c r="C2362" s="47" t="s">
        <v>972</v>
      </c>
      <c r="D2362" s="123">
        <f>SUMIF(B$3:B$3844,B2362,M$3:M$3844)/(SUMIF(B$3:B$3844,B2362,J$3:J$3844))</f>
        <v>0.77847489432681916</v>
      </c>
      <c r="E2362" s="47">
        <v>228474</v>
      </c>
      <c r="F2362" s="48" t="s">
        <v>1011</v>
      </c>
      <c r="G2362" s="49">
        <v>120147003889</v>
      </c>
      <c r="H2362" s="47"/>
      <c r="I2362" s="40"/>
      <c r="J2362" s="40">
        <v>713</v>
      </c>
      <c r="K2362" s="20">
        <v>2015</v>
      </c>
      <c r="L2362" s="20">
        <v>73.819999999999993</v>
      </c>
      <c r="M2362" s="110">
        <f>IF(L2362="",I2362,(MIN(J2362,(L2362*1.6*J2362))))</f>
        <v>713</v>
      </c>
      <c r="N2362" s="111">
        <f>IF(M2362=0,0,(M2362/J2362))</f>
        <v>1</v>
      </c>
    </row>
    <row r="2363" spans="2:14">
      <c r="B2363" s="73">
        <v>127889</v>
      </c>
      <c r="C2363" s="23" t="s">
        <v>972</v>
      </c>
      <c r="D2363" s="123">
        <f>SUMIF(B$3:B$3844,B2363,M$3:M$3844)/(SUMIF(B$3:B$3844,B2363,J$3:J$3844))</f>
        <v>0.77847489432681916</v>
      </c>
      <c r="E2363" s="47">
        <v>38768</v>
      </c>
      <c r="F2363" s="48" t="s">
        <v>1012</v>
      </c>
      <c r="G2363" s="49">
        <v>120147002866</v>
      </c>
      <c r="H2363" s="47"/>
      <c r="I2363" s="40">
        <v>1260</v>
      </c>
      <c r="J2363" s="40">
        <v>1735</v>
      </c>
      <c r="K2363" s="20"/>
      <c r="L2363" s="20"/>
      <c r="M2363" s="110">
        <f>IF(L2363="",I2363,(MIN(J2363,(L2363*1.6*J2363))))</f>
        <v>1260</v>
      </c>
      <c r="N2363" s="111">
        <f>IF(M2363=0,0,(M2363/J2363))</f>
        <v>0.72622478386167144</v>
      </c>
    </row>
    <row r="2364" spans="2:14">
      <c r="B2364" s="72">
        <v>127889</v>
      </c>
      <c r="C2364" s="47" t="s">
        <v>972</v>
      </c>
      <c r="D2364" s="123">
        <f>SUMIF(B$3:B$3844,B2364,M$3:M$3844)/(SUMIF(B$3:B$3844,B2364,J$3:J$3844))</f>
        <v>0.77847489432681916</v>
      </c>
      <c r="E2364" s="47">
        <v>228362</v>
      </c>
      <c r="F2364" s="48" t="s">
        <v>1013</v>
      </c>
      <c r="G2364" s="49">
        <v>120147003634</v>
      </c>
      <c r="H2364" s="47"/>
      <c r="I2364" s="40">
        <v>389</v>
      </c>
      <c r="J2364" s="40">
        <v>623</v>
      </c>
      <c r="K2364" s="20"/>
      <c r="L2364" s="20"/>
      <c r="M2364" s="110">
        <f>IF(L2364="",I2364,(MIN(J2364,(L2364*1.6*J2364))))</f>
        <v>389</v>
      </c>
      <c r="N2364" s="111">
        <f>IF(M2364=0,0,(M2364/J2364))</f>
        <v>0.6243980738362761</v>
      </c>
    </row>
    <row r="2365" spans="2:14">
      <c r="B2365" s="73">
        <v>127889</v>
      </c>
      <c r="C2365" s="23" t="s">
        <v>972</v>
      </c>
      <c r="D2365" s="123">
        <f>SUMIF(B$3:B$3844,B2365,M$3:M$3844)/(SUMIF(B$3:B$3844,B2365,J$3:J$3844))</f>
        <v>0.77847489432681916</v>
      </c>
      <c r="E2365" s="47">
        <v>38767</v>
      </c>
      <c r="F2365" s="48" t="s">
        <v>1014</v>
      </c>
      <c r="G2365" s="49">
        <v>120147002231</v>
      </c>
      <c r="H2365" s="47"/>
      <c r="I2365" s="40"/>
      <c r="J2365" s="40">
        <v>1012</v>
      </c>
      <c r="K2365" s="20">
        <v>2015</v>
      </c>
      <c r="L2365" s="20">
        <v>64.11</v>
      </c>
      <c r="M2365" s="110">
        <f>IF(L2365="",I2365,(MIN(J2365,(L2365*1.6*J2365))))</f>
        <v>1012</v>
      </c>
      <c r="N2365" s="111">
        <f>IF(M2365=0,0,(M2365/J2365))</f>
        <v>1</v>
      </c>
    </row>
    <row r="2366" spans="2:14">
      <c r="B2366" s="72">
        <v>127889</v>
      </c>
      <c r="C2366" s="47" t="s">
        <v>972</v>
      </c>
      <c r="D2366" s="123">
        <f>SUMIF(B$3:B$3844,B2366,M$3:M$3844)/(SUMIF(B$3:B$3844,B2366,J$3:J$3844))</f>
        <v>0.77847489432681916</v>
      </c>
      <c r="E2366" s="47">
        <v>16033405</v>
      </c>
      <c r="F2366" s="48" t="s">
        <v>1015</v>
      </c>
      <c r="G2366" s="49">
        <v>120147001472</v>
      </c>
      <c r="H2366" s="47"/>
      <c r="I2366" s="40">
        <v>561</v>
      </c>
      <c r="J2366" s="40">
        <v>963</v>
      </c>
      <c r="K2366" s="20"/>
      <c r="L2366" s="20"/>
      <c r="M2366" s="110">
        <f>IF(L2366="",I2366,(MIN(J2366,(L2366*1.6*J2366))))</f>
        <v>561</v>
      </c>
      <c r="N2366" s="111">
        <f>IF(M2366=0,0,(M2366/J2366))</f>
        <v>0.58255451713395634</v>
      </c>
    </row>
    <row r="2367" spans="2:14">
      <c r="B2367" s="73">
        <v>127889</v>
      </c>
      <c r="C2367" s="23" t="s">
        <v>972</v>
      </c>
      <c r="D2367" s="123">
        <f>SUMIF(B$3:B$3844,B2367,M$3:M$3844)/(SUMIF(B$3:B$3844,B2367,J$3:J$3844))</f>
        <v>0.77847489432681916</v>
      </c>
      <c r="E2367" s="47">
        <v>38778</v>
      </c>
      <c r="F2367" s="48" t="s">
        <v>1016</v>
      </c>
      <c r="G2367" s="49">
        <v>120147001473</v>
      </c>
      <c r="H2367" s="47"/>
      <c r="I2367" s="40">
        <v>1405</v>
      </c>
      <c r="J2367" s="40">
        <v>2412</v>
      </c>
      <c r="K2367" s="20"/>
      <c r="L2367" s="20"/>
      <c r="M2367" s="110">
        <f>IF(L2367="",I2367,(MIN(J2367,(L2367*1.6*J2367))))</f>
        <v>1405</v>
      </c>
      <c r="N2367" s="111">
        <f>IF(M2367=0,0,(M2367/J2367))</f>
        <v>0.58250414593698174</v>
      </c>
    </row>
    <row r="2368" spans="2:14">
      <c r="B2368" s="72">
        <v>127889</v>
      </c>
      <c r="C2368" s="47" t="s">
        <v>972</v>
      </c>
      <c r="D2368" s="123">
        <f>SUMIF(B$3:B$3844,B2368,M$3:M$3844)/(SUMIF(B$3:B$3844,B2368,J$3:J$3844))</f>
        <v>0.77847489432681916</v>
      </c>
      <c r="E2368" s="47">
        <v>38777</v>
      </c>
      <c r="F2368" s="48" t="s">
        <v>1017</v>
      </c>
      <c r="G2368" s="49">
        <v>120147001475</v>
      </c>
      <c r="H2368" s="47"/>
      <c r="I2368" s="40">
        <v>705</v>
      </c>
      <c r="J2368" s="40">
        <v>1185</v>
      </c>
      <c r="K2368" s="20"/>
      <c r="L2368" s="20"/>
      <c r="M2368" s="110">
        <f>IF(L2368="",I2368,(MIN(J2368,(L2368*1.6*J2368))))</f>
        <v>705</v>
      </c>
      <c r="N2368" s="111">
        <f>IF(M2368=0,0,(M2368/J2368))</f>
        <v>0.59493670886075944</v>
      </c>
    </row>
    <row r="2369" spans="2:14">
      <c r="B2369" s="73">
        <v>127889</v>
      </c>
      <c r="C2369" s="23" t="s">
        <v>972</v>
      </c>
      <c r="D2369" s="123">
        <f>SUMIF(B$3:B$3844,B2369,M$3:M$3844)/(SUMIF(B$3:B$3844,B2369,J$3:J$3844))</f>
        <v>0.77847489432681916</v>
      </c>
      <c r="E2369" s="47">
        <v>16033408</v>
      </c>
      <c r="F2369" s="48" t="s">
        <v>924</v>
      </c>
      <c r="G2369" s="49">
        <v>120147005656</v>
      </c>
      <c r="H2369" s="47"/>
      <c r="I2369" s="40"/>
      <c r="J2369" s="40">
        <v>877</v>
      </c>
      <c r="K2369" s="20">
        <v>2015</v>
      </c>
      <c r="L2369" s="20">
        <v>55.48</v>
      </c>
      <c r="M2369" s="110">
        <f>IF(L2369="",I2369,(MIN(J2369,(L2369*1.6*J2369))))</f>
        <v>877</v>
      </c>
      <c r="N2369" s="111">
        <f>IF(M2369=0,0,(M2369/J2369))</f>
        <v>1</v>
      </c>
    </row>
    <row r="2370" spans="2:14">
      <c r="B2370" s="72">
        <v>127889</v>
      </c>
      <c r="C2370" s="47" t="s">
        <v>972</v>
      </c>
      <c r="D2370" s="123">
        <f>SUMIF(B$3:B$3844,B2370,M$3:M$3844)/(SUMIF(B$3:B$3844,B2370,J$3:J$3844))</f>
        <v>0.77847489432681916</v>
      </c>
      <c r="E2370" s="47">
        <v>38749</v>
      </c>
      <c r="F2370" s="48" t="s">
        <v>1018</v>
      </c>
      <c r="G2370" s="49">
        <v>120147007148</v>
      </c>
      <c r="H2370" s="47"/>
      <c r="I2370" s="40"/>
      <c r="J2370" s="40">
        <v>0</v>
      </c>
      <c r="K2370" s="20"/>
      <c r="L2370" s="20"/>
      <c r="M2370" s="110">
        <f>IF(L2370="",I2370,(MIN(J2370,(L2370*1.6*J2370))))</f>
        <v>0</v>
      </c>
      <c r="N2370" s="111">
        <f>IF(M2370=0,0,(M2370/J2370))</f>
        <v>0</v>
      </c>
    </row>
    <row r="2371" spans="2:14" ht="30">
      <c r="B2371" s="73">
        <v>127889</v>
      </c>
      <c r="C2371" s="23" t="s">
        <v>972</v>
      </c>
      <c r="D2371" s="123">
        <f>SUMIF(B$3:B$3844,B2371,M$3:M$3844)/(SUMIF(B$3:B$3844,B2371,J$3:J$3844))</f>
        <v>0.77847489432681916</v>
      </c>
      <c r="E2371" s="47">
        <v>16080940</v>
      </c>
      <c r="F2371" s="48" t="s">
        <v>1019</v>
      </c>
      <c r="G2371" s="49">
        <v>120147008401</v>
      </c>
      <c r="H2371" s="47"/>
      <c r="I2371" s="40"/>
      <c r="J2371" s="40">
        <v>0</v>
      </c>
      <c r="K2371" s="20"/>
      <c r="L2371" s="20"/>
      <c r="M2371" s="110">
        <f>IF(L2371="",I2371,(MIN(J2371,(L2371*1.6*J2371))))</f>
        <v>0</v>
      </c>
      <c r="N2371" s="111">
        <f>IF(M2371=0,0,(M2371/J2371))</f>
        <v>0</v>
      </c>
    </row>
    <row r="2372" spans="2:14" ht="30">
      <c r="B2372" s="72">
        <v>127889</v>
      </c>
      <c r="C2372" s="47" t="s">
        <v>972</v>
      </c>
      <c r="D2372" s="123">
        <f>SUMIF(B$3:B$3844,B2372,M$3:M$3844)/(SUMIF(B$3:B$3844,B2372,J$3:J$3844))</f>
        <v>0.77847489432681916</v>
      </c>
      <c r="E2372" s="47">
        <v>16080941</v>
      </c>
      <c r="F2372" s="48" t="s">
        <v>1020</v>
      </c>
      <c r="G2372" s="49">
        <v>120147008430</v>
      </c>
      <c r="H2372" s="47"/>
      <c r="I2372" s="40"/>
      <c r="J2372" s="40">
        <v>0</v>
      </c>
      <c r="K2372" s="20"/>
      <c r="L2372" s="20"/>
      <c r="M2372" s="110">
        <f>IF(L2372="",I2372,(MIN(J2372,(L2372*1.6*J2372))))</f>
        <v>0</v>
      </c>
      <c r="N2372" s="111">
        <f>IF(M2372=0,0,(M2372/J2372))</f>
        <v>0</v>
      </c>
    </row>
    <row r="2373" spans="2:14" ht="30">
      <c r="B2373" s="73">
        <v>127889</v>
      </c>
      <c r="C2373" s="23" t="s">
        <v>972</v>
      </c>
      <c r="D2373" s="123">
        <f>SUMIF(B$3:B$3844,B2373,M$3:M$3844)/(SUMIF(B$3:B$3844,B2373,J$3:J$3844))</f>
        <v>0.77847489432681916</v>
      </c>
      <c r="E2373" s="47">
        <v>38730</v>
      </c>
      <c r="F2373" s="48" t="s">
        <v>1021</v>
      </c>
      <c r="G2373" s="49">
        <v>120147001471</v>
      </c>
      <c r="H2373" s="47"/>
      <c r="I2373" s="40"/>
      <c r="J2373" s="40">
        <v>876</v>
      </c>
      <c r="K2373" s="20">
        <v>2015</v>
      </c>
      <c r="L2373" s="20">
        <v>67.459999999999994</v>
      </c>
      <c r="M2373" s="110">
        <f>IF(L2373="",I2373,(MIN(J2373,(L2373*1.6*J2373))))</f>
        <v>876</v>
      </c>
      <c r="N2373" s="111">
        <f>IF(M2373=0,0,(M2373/J2373))</f>
        <v>1</v>
      </c>
    </row>
    <row r="2374" spans="2:14">
      <c r="B2374" s="72">
        <v>127889</v>
      </c>
      <c r="C2374" s="47" t="s">
        <v>972</v>
      </c>
      <c r="D2374" s="123">
        <f>SUMIF(B$3:B$3844,B2374,M$3:M$3844)/(SUMIF(B$3:B$3844,B2374,J$3:J$3844))</f>
        <v>0.77847489432681916</v>
      </c>
      <c r="E2374" s="47">
        <v>38741</v>
      </c>
      <c r="F2374" s="48" t="s">
        <v>1022</v>
      </c>
      <c r="G2374" s="49">
        <v>120147002675</v>
      </c>
      <c r="H2374" s="47"/>
      <c r="I2374" s="40"/>
      <c r="J2374" s="40">
        <v>918</v>
      </c>
      <c r="K2374" s="20">
        <v>2015</v>
      </c>
      <c r="L2374" s="20">
        <v>63.37</v>
      </c>
      <c r="M2374" s="110">
        <f>IF(L2374="",I2374,(MIN(J2374,(L2374*1.6*J2374))))</f>
        <v>918</v>
      </c>
      <c r="N2374" s="111">
        <f>IF(M2374=0,0,(M2374/J2374))</f>
        <v>1</v>
      </c>
    </row>
    <row r="2375" spans="2:14">
      <c r="B2375" s="73">
        <v>127889</v>
      </c>
      <c r="C2375" s="23" t="s">
        <v>972</v>
      </c>
      <c r="D2375" s="123">
        <f>SUMIF(B$3:B$3844,B2375,M$3:M$3844)/(SUMIF(B$3:B$3844,B2375,J$3:J$3844))</f>
        <v>0.77847489432681916</v>
      </c>
      <c r="E2375" s="47">
        <v>16050547</v>
      </c>
      <c r="F2375" s="48" t="s">
        <v>1023</v>
      </c>
      <c r="G2375" s="49">
        <v>120147007628</v>
      </c>
      <c r="H2375" s="47"/>
      <c r="I2375" s="40"/>
      <c r="J2375" s="40">
        <v>1556</v>
      </c>
      <c r="K2375" s="20">
        <v>2015</v>
      </c>
      <c r="L2375" s="20">
        <v>61.85</v>
      </c>
      <c r="M2375" s="110">
        <f>IF(L2375="",I2375,(MIN(J2375,(L2375*1.6*J2375))))</f>
        <v>1556</v>
      </c>
      <c r="N2375" s="111">
        <f>IF(M2375=0,0,(M2375/J2375))</f>
        <v>1</v>
      </c>
    </row>
    <row r="2376" spans="2:14">
      <c r="B2376" s="72">
        <v>127889</v>
      </c>
      <c r="C2376" s="47" t="s">
        <v>972</v>
      </c>
      <c r="D2376" s="123">
        <f>SUMIF(B$3:B$3844,B2376,M$3:M$3844)/(SUMIF(B$3:B$3844,B2376,J$3:J$3844))</f>
        <v>0.77847489432681916</v>
      </c>
      <c r="E2376" s="47">
        <v>16033409</v>
      </c>
      <c r="F2376" s="48" t="s">
        <v>1024</v>
      </c>
      <c r="G2376" s="49">
        <v>120147000920</v>
      </c>
      <c r="H2376" s="47"/>
      <c r="I2376" s="40"/>
      <c r="J2376" s="40">
        <v>552</v>
      </c>
      <c r="K2376" s="20">
        <v>2015</v>
      </c>
      <c r="L2376" s="20">
        <v>68.55</v>
      </c>
      <c r="M2376" s="110">
        <f>IF(L2376="",I2376,(MIN(J2376,(L2376*1.6*J2376))))</f>
        <v>552</v>
      </c>
      <c r="N2376" s="111">
        <f>IF(M2376=0,0,(M2376/J2376))</f>
        <v>1</v>
      </c>
    </row>
    <row r="2377" spans="2:14">
      <c r="B2377" s="73">
        <v>127889</v>
      </c>
      <c r="C2377" s="23" t="s">
        <v>972</v>
      </c>
      <c r="D2377" s="123">
        <f>SUMIF(B$3:B$3844,B2377,M$3:M$3844)/(SUMIF(B$3:B$3844,B2377,J$3:J$3844))</f>
        <v>0.77847489432681916</v>
      </c>
      <c r="E2377" s="47">
        <v>16023249</v>
      </c>
      <c r="F2377" s="48" t="s">
        <v>1025</v>
      </c>
      <c r="G2377" s="49">
        <v>1201470</v>
      </c>
      <c r="H2377" s="47"/>
      <c r="I2377" s="40"/>
      <c r="J2377" s="40"/>
      <c r="K2377" s="20"/>
      <c r="L2377" s="20"/>
      <c r="M2377" s="110">
        <f>IF(L2377="",I2377,(MIN(J2377,(L2377*1.6*J2377))))</f>
        <v>0</v>
      </c>
      <c r="N2377" s="111">
        <f>IF(M2377=0,0,(M2377/J2377))</f>
        <v>0</v>
      </c>
    </row>
    <row r="2378" spans="2:14">
      <c r="B2378" s="72">
        <v>127889</v>
      </c>
      <c r="C2378" s="47" t="s">
        <v>972</v>
      </c>
      <c r="D2378" s="123">
        <f>SUMIF(B$3:B$3844,B2378,M$3:M$3844)/(SUMIF(B$3:B$3844,B2378,J$3:J$3844))</f>
        <v>0.77847489432681916</v>
      </c>
      <c r="E2378" s="47">
        <v>16023250</v>
      </c>
      <c r="F2378" s="48" t="s">
        <v>1026</v>
      </c>
      <c r="G2378" s="49">
        <v>1201470</v>
      </c>
      <c r="H2378" s="47"/>
      <c r="I2378" s="40"/>
      <c r="J2378" s="40"/>
      <c r="K2378" s="20"/>
      <c r="L2378" s="20"/>
      <c r="M2378" s="110">
        <f>IF(L2378="",I2378,(MIN(J2378,(L2378*1.6*J2378))))</f>
        <v>0</v>
      </c>
      <c r="N2378" s="111">
        <f>IF(M2378=0,0,(M2378/J2378))</f>
        <v>0</v>
      </c>
    </row>
    <row r="2379" spans="2:14">
      <c r="B2379" s="73">
        <v>127889</v>
      </c>
      <c r="C2379" s="23" t="s">
        <v>972</v>
      </c>
      <c r="D2379" s="123">
        <f>SUMIF(B$3:B$3844,B2379,M$3:M$3844)/(SUMIF(B$3:B$3844,B2379,J$3:J$3844))</f>
        <v>0.77847489432681916</v>
      </c>
      <c r="E2379" s="47">
        <v>16051355</v>
      </c>
      <c r="F2379" s="48" t="s">
        <v>1027</v>
      </c>
      <c r="G2379" s="49">
        <v>1201470</v>
      </c>
      <c r="H2379" s="47"/>
      <c r="I2379" s="40"/>
      <c r="J2379" s="40"/>
      <c r="K2379" s="20"/>
      <c r="L2379" s="20"/>
      <c r="M2379" s="110">
        <f>IF(L2379="",I2379,(MIN(J2379,(L2379*1.6*J2379))))</f>
        <v>0</v>
      </c>
      <c r="N2379" s="111">
        <f>IF(M2379=0,0,(M2379/J2379))</f>
        <v>0</v>
      </c>
    </row>
    <row r="2380" spans="2:14">
      <c r="B2380" s="72">
        <v>127889</v>
      </c>
      <c r="C2380" s="47" t="s">
        <v>972</v>
      </c>
      <c r="D2380" s="123">
        <f>SUMIF(B$3:B$3844,B2380,M$3:M$3844)/(SUMIF(B$3:B$3844,B2380,J$3:J$3844))</f>
        <v>0.77847489432681916</v>
      </c>
      <c r="E2380" s="47">
        <v>16081283</v>
      </c>
      <c r="F2380" s="48" t="s">
        <v>1028</v>
      </c>
      <c r="G2380" s="49">
        <v>1201470</v>
      </c>
      <c r="H2380" s="47"/>
      <c r="I2380" s="40"/>
      <c r="J2380" s="40"/>
      <c r="K2380" s="20"/>
      <c r="L2380" s="20"/>
      <c r="M2380" s="110">
        <f>IF(L2380="",I2380,(MIN(J2380,(L2380*1.6*J2380))))</f>
        <v>0</v>
      </c>
      <c r="N2380" s="111">
        <f>IF(M2380=0,0,(M2380/J2380))</f>
        <v>0</v>
      </c>
    </row>
    <row r="2381" spans="2:14">
      <c r="B2381" s="73">
        <v>127889</v>
      </c>
      <c r="C2381" s="23" t="s">
        <v>972</v>
      </c>
      <c r="D2381" s="123">
        <f>SUMIF(B$3:B$3844,B2381,M$3:M$3844)/(SUMIF(B$3:B$3844,B2381,J$3:J$3844))</f>
        <v>0.77847489432681916</v>
      </c>
      <c r="E2381" s="47">
        <v>16081284</v>
      </c>
      <c r="F2381" s="48" t="s">
        <v>1029</v>
      </c>
      <c r="G2381" s="49">
        <v>1201470</v>
      </c>
      <c r="H2381" s="47"/>
      <c r="I2381" s="40"/>
      <c r="J2381" s="40"/>
      <c r="K2381" s="20"/>
      <c r="L2381" s="20"/>
      <c r="M2381" s="110">
        <f>IF(L2381="",I2381,(MIN(J2381,(L2381*1.6*J2381))))</f>
        <v>0</v>
      </c>
      <c r="N2381" s="111">
        <f>IF(M2381=0,0,(M2381/J2381))</f>
        <v>0</v>
      </c>
    </row>
    <row r="2382" spans="2:14">
      <c r="B2382" s="72">
        <v>127889</v>
      </c>
      <c r="C2382" s="47" t="s">
        <v>972</v>
      </c>
      <c r="D2382" s="123">
        <f>SUMIF(B$3:B$3844,B2382,M$3:M$3844)/(SUMIF(B$3:B$3844,B2382,J$3:J$3844))</f>
        <v>0.77847489432681916</v>
      </c>
      <c r="E2382" s="47">
        <v>16081285</v>
      </c>
      <c r="F2382" s="48" t="s">
        <v>1030</v>
      </c>
      <c r="G2382" s="49">
        <v>1201470</v>
      </c>
      <c r="H2382" s="47"/>
      <c r="I2382" s="40"/>
      <c r="J2382" s="40"/>
      <c r="K2382" s="20"/>
      <c r="L2382" s="20"/>
      <c r="M2382" s="110">
        <f>IF(L2382="",I2382,(MIN(J2382,(L2382*1.6*J2382))))</f>
        <v>0</v>
      </c>
      <c r="N2382" s="111">
        <f>IF(M2382=0,0,(M2382/J2382))</f>
        <v>0</v>
      </c>
    </row>
    <row r="2383" spans="2:14">
      <c r="B2383" s="73">
        <v>127889</v>
      </c>
      <c r="C2383" s="23" t="s">
        <v>972</v>
      </c>
      <c r="D2383" s="123">
        <f>SUMIF(B$3:B$3844,B2383,M$3:M$3844)/(SUMIF(B$3:B$3844,B2383,J$3:J$3844))</f>
        <v>0.77847489432681916</v>
      </c>
      <c r="E2383" s="47">
        <v>16081286</v>
      </c>
      <c r="F2383" s="48" t="s">
        <v>1031</v>
      </c>
      <c r="G2383" s="49">
        <v>1201470</v>
      </c>
      <c r="H2383" s="47"/>
      <c r="I2383" s="40"/>
      <c r="J2383" s="40"/>
      <c r="K2383" s="20"/>
      <c r="L2383" s="20"/>
      <c r="M2383" s="110">
        <f>IF(L2383="",I2383,(MIN(J2383,(L2383*1.6*J2383))))</f>
        <v>0</v>
      </c>
      <c r="N2383" s="111">
        <f>IF(M2383=0,0,(M2383/J2383))</f>
        <v>0</v>
      </c>
    </row>
    <row r="2384" spans="2:14">
      <c r="B2384" s="72">
        <v>127889</v>
      </c>
      <c r="C2384" s="47" t="s">
        <v>972</v>
      </c>
      <c r="D2384" s="123">
        <f>SUMIF(B$3:B$3844,B2384,M$3:M$3844)/(SUMIF(B$3:B$3844,B2384,J$3:J$3844))</f>
        <v>0.77847489432681916</v>
      </c>
      <c r="E2384" s="47">
        <v>16081287</v>
      </c>
      <c r="F2384" s="48" t="s">
        <v>1032</v>
      </c>
      <c r="G2384" s="49">
        <v>1201470</v>
      </c>
      <c r="H2384" s="47"/>
      <c r="I2384" s="40"/>
      <c r="J2384" s="40"/>
      <c r="K2384" s="20"/>
      <c r="L2384" s="20"/>
      <c r="M2384" s="110">
        <f>IF(L2384="",I2384,(MIN(J2384,(L2384*1.6*J2384))))</f>
        <v>0</v>
      </c>
      <c r="N2384" s="111">
        <f>IF(M2384=0,0,(M2384/J2384))</f>
        <v>0</v>
      </c>
    </row>
    <row r="2385" spans="2:14">
      <c r="B2385" s="73">
        <v>127889</v>
      </c>
      <c r="C2385" s="23" t="s">
        <v>972</v>
      </c>
      <c r="D2385" s="123">
        <f>SUMIF(B$3:B$3844,B2385,M$3:M$3844)/(SUMIF(B$3:B$3844,B2385,J$3:J$3844))</f>
        <v>0.77847489432681916</v>
      </c>
      <c r="E2385" s="47">
        <v>16081288</v>
      </c>
      <c r="F2385" s="48" t="s">
        <v>1033</v>
      </c>
      <c r="G2385" s="49">
        <v>1201470</v>
      </c>
      <c r="H2385" s="47"/>
      <c r="I2385" s="40"/>
      <c r="J2385" s="40"/>
      <c r="K2385" s="20"/>
      <c r="L2385" s="20"/>
      <c r="M2385" s="110">
        <f>IF(L2385="",I2385,(MIN(J2385,(L2385*1.6*J2385))))</f>
        <v>0</v>
      </c>
      <c r="N2385" s="111">
        <f>IF(M2385=0,0,(M2385/J2385))</f>
        <v>0</v>
      </c>
    </row>
    <row r="2386" spans="2:14">
      <c r="B2386" s="72">
        <v>127889</v>
      </c>
      <c r="C2386" s="47" t="s">
        <v>972</v>
      </c>
      <c r="D2386" s="123">
        <f>SUMIF(B$3:B$3844,B2386,M$3:M$3844)/(SUMIF(B$3:B$3844,B2386,J$3:J$3844))</f>
        <v>0.77847489432681916</v>
      </c>
      <c r="E2386" s="47">
        <v>16081289</v>
      </c>
      <c r="F2386" s="48" t="s">
        <v>1034</v>
      </c>
      <c r="G2386" s="49">
        <v>1201470</v>
      </c>
      <c r="H2386" s="47"/>
      <c r="I2386" s="40"/>
      <c r="J2386" s="40"/>
      <c r="K2386" s="20"/>
      <c r="L2386" s="20"/>
      <c r="M2386" s="110">
        <f>IF(L2386="",I2386,(MIN(J2386,(L2386*1.6*J2386))))</f>
        <v>0</v>
      </c>
      <c r="N2386" s="111">
        <f>IF(M2386=0,0,(M2386/J2386))</f>
        <v>0</v>
      </c>
    </row>
    <row r="2387" spans="2:14">
      <c r="B2387" s="73">
        <v>127889</v>
      </c>
      <c r="C2387" s="23" t="s">
        <v>972</v>
      </c>
      <c r="D2387" s="123">
        <f>SUMIF(B$3:B$3844,B2387,M$3:M$3844)/(SUMIF(B$3:B$3844,B2387,J$3:J$3844))</f>
        <v>0.77847489432681916</v>
      </c>
      <c r="E2387" s="47">
        <v>16081290</v>
      </c>
      <c r="F2387" s="48" t="s">
        <v>1035</v>
      </c>
      <c r="G2387" s="49">
        <v>1201470</v>
      </c>
      <c r="H2387" s="47"/>
      <c r="I2387" s="40"/>
      <c r="J2387" s="40"/>
      <c r="K2387" s="20"/>
      <c r="L2387" s="20"/>
      <c r="M2387" s="110">
        <f>IF(L2387="",I2387,(MIN(J2387,(L2387*1.6*J2387))))</f>
        <v>0</v>
      </c>
      <c r="N2387" s="111">
        <f>IF(M2387=0,0,(M2387/J2387))</f>
        <v>0</v>
      </c>
    </row>
    <row r="2388" spans="2:14">
      <c r="B2388" s="72">
        <v>127889</v>
      </c>
      <c r="C2388" s="47" t="s">
        <v>972</v>
      </c>
      <c r="D2388" s="123">
        <f>SUMIF(B$3:B$3844,B2388,M$3:M$3844)/(SUMIF(B$3:B$3844,B2388,J$3:J$3844))</f>
        <v>0.77847489432681916</v>
      </c>
      <c r="E2388" s="47">
        <v>16081291</v>
      </c>
      <c r="F2388" s="48" t="s">
        <v>1036</v>
      </c>
      <c r="G2388" s="49">
        <v>1201470</v>
      </c>
      <c r="H2388" s="47"/>
      <c r="I2388" s="40"/>
      <c r="J2388" s="40"/>
      <c r="K2388" s="20"/>
      <c r="L2388" s="20"/>
      <c r="M2388" s="110">
        <f>IF(L2388="",I2388,(MIN(J2388,(L2388*1.6*J2388))))</f>
        <v>0</v>
      </c>
      <c r="N2388" s="111">
        <f>IF(M2388=0,0,(M2388/J2388))</f>
        <v>0</v>
      </c>
    </row>
    <row r="2389" spans="2:14">
      <c r="B2389" s="73">
        <v>127889</v>
      </c>
      <c r="C2389" s="23" t="s">
        <v>972</v>
      </c>
      <c r="D2389" s="123">
        <f>SUMIF(B$3:B$3844,B2389,M$3:M$3844)/(SUMIF(B$3:B$3844,B2389,J$3:J$3844))</f>
        <v>0.77847489432681916</v>
      </c>
      <c r="E2389" s="47">
        <v>16081292</v>
      </c>
      <c r="F2389" s="48" t="s">
        <v>1037</v>
      </c>
      <c r="G2389" s="49">
        <v>1201470</v>
      </c>
      <c r="H2389" s="47"/>
      <c r="I2389" s="40"/>
      <c r="J2389" s="40"/>
      <c r="K2389" s="20"/>
      <c r="L2389" s="20"/>
      <c r="M2389" s="110">
        <f>IF(L2389="",I2389,(MIN(J2389,(L2389*1.6*J2389))))</f>
        <v>0</v>
      </c>
      <c r="N2389" s="111">
        <f>IF(M2389=0,0,(M2389/J2389))</f>
        <v>0</v>
      </c>
    </row>
    <row r="2390" spans="2:14">
      <c r="B2390" s="72">
        <v>127889</v>
      </c>
      <c r="C2390" s="47" t="s">
        <v>972</v>
      </c>
      <c r="D2390" s="123">
        <f>SUMIF(B$3:B$3844,B2390,M$3:M$3844)/(SUMIF(B$3:B$3844,B2390,J$3:J$3844))</f>
        <v>0.77847489432681916</v>
      </c>
      <c r="E2390" s="47">
        <v>16081293</v>
      </c>
      <c r="F2390" s="48" t="s">
        <v>1038</v>
      </c>
      <c r="G2390" s="49">
        <v>1201470</v>
      </c>
      <c r="H2390" s="47"/>
      <c r="I2390" s="40"/>
      <c r="J2390" s="40"/>
      <c r="K2390" s="20"/>
      <c r="L2390" s="20"/>
      <c r="M2390" s="110">
        <f>IF(L2390="",I2390,(MIN(J2390,(L2390*1.6*J2390))))</f>
        <v>0</v>
      </c>
      <c r="N2390" s="111">
        <f>IF(M2390=0,0,(M2390/J2390))</f>
        <v>0</v>
      </c>
    </row>
    <row r="2391" spans="2:14">
      <c r="B2391" s="73">
        <v>127889</v>
      </c>
      <c r="C2391" s="23" t="s">
        <v>972</v>
      </c>
      <c r="D2391" s="123">
        <f>SUMIF(B$3:B$3844,B2391,M$3:M$3844)/(SUMIF(B$3:B$3844,B2391,J$3:J$3844))</f>
        <v>0.77847489432681916</v>
      </c>
      <c r="E2391" s="47">
        <v>16081294</v>
      </c>
      <c r="F2391" s="48" t="s">
        <v>1039</v>
      </c>
      <c r="G2391" s="49">
        <v>1201470</v>
      </c>
      <c r="H2391" s="47"/>
      <c r="I2391" s="40"/>
      <c r="J2391" s="40"/>
      <c r="K2391" s="20"/>
      <c r="L2391" s="20"/>
      <c r="M2391" s="110">
        <f>IF(L2391="",I2391,(MIN(J2391,(L2391*1.6*J2391))))</f>
        <v>0</v>
      </c>
      <c r="N2391" s="111">
        <f>IF(M2391=0,0,(M2391/J2391))</f>
        <v>0</v>
      </c>
    </row>
    <row r="2392" spans="2:14">
      <c r="B2392" s="72">
        <v>127889</v>
      </c>
      <c r="C2392" s="47" t="s">
        <v>972</v>
      </c>
      <c r="D2392" s="123">
        <f>SUMIF(B$3:B$3844,B2392,M$3:M$3844)/(SUMIF(B$3:B$3844,B2392,J$3:J$3844))</f>
        <v>0.77847489432681916</v>
      </c>
      <c r="E2392" s="47">
        <v>16046344</v>
      </c>
      <c r="F2392" s="48" t="s">
        <v>1040</v>
      </c>
      <c r="G2392" s="47">
        <v>1201470</v>
      </c>
      <c r="H2392" s="47"/>
      <c r="I2392" s="40"/>
      <c r="J2392" s="40"/>
      <c r="K2392" s="20"/>
      <c r="L2392" s="20"/>
      <c r="M2392" s="110">
        <f>IF(L2392="",I2392,(MIN(J2392,(L2392*1.6*J2392))))</f>
        <v>0</v>
      </c>
      <c r="N2392" s="111">
        <f>IF(M2392=0,0,(M2392/J2392))</f>
        <v>0</v>
      </c>
    </row>
    <row r="2393" spans="2:14">
      <c r="B2393" s="73">
        <v>127754</v>
      </c>
      <c r="C2393" s="23" t="str">
        <f>"PALMBEACH"</f>
        <v>PALMBEACH</v>
      </c>
      <c r="D2393" s="123">
        <f>SUMIF(B$3:B$3844,B2393,M$3:M$3844)/(SUMIF(B$3:B$3844,B2393,J$3:J$3844))</f>
        <v>0.61922547211652934</v>
      </c>
      <c r="E2393" s="23">
        <v>37487</v>
      </c>
      <c r="F2393" s="46" t="s">
        <v>2191</v>
      </c>
      <c r="G2393" s="23"/>
      <c r="H2393" s="23"/>
      <c r="I2393" s="41">
        <v>221</v>
      </c>
      <c r="J2393" s="41">
        <v>452</v>
      </c>
      <c r="K2393" s="118"/>
      <c r="L2393" s="119"/>
      <c r="M2393" s="110">
        <f>IF(L2393="",I2393,(MIN(J2393,(L2393*1.6*J2393))))</f>
        <v>221</v>
      </c>
      <c r="N2393" s="111">
        <f>IF(M2393=0,0,(M2393/J2393))</f>
        <v>0.48893805309734512</v>
      </c>
    </row>
    <row r="2394" spans="2:14">
      <c r="B2394" s="72">
        <v>127754</v>
      </c>
      <c r="C2394" s="47" t="str">
        <f>"PALMBEACH"</f>
        <v>PALMBEACH</v>
      </c>
      <c r="D2394" s="123">
        <f>SUMIF(B$3:B$3844,B2394,M$3:M$3844)/(SUMIF(B$3:B$3844,B2394,J$3:J$3844))</f>
        <v>0.61922547211652934</v>
      </c>
      <c r="E2394" s="47">
        <v>37508</v>
      </c>
      <c r="F2394" s="48" t="s">
        <v>2192</v>
      </c>
      <c r="G2394" s="47"/>
      <c r="H2394" s="47"/>
      <c r="I2394" s="40">
        <v>186</v>
      </c>
      <c r="J2394" s="40">
        <v>836</v>
      </c>
      <c r="K2394" s="118"/>
      <c r="L2394" s="119"/>
      <c r="M2394" s="110">
        <f>IF(L2394="",I2394,(MIN(J2394,(L2394*1.6*J2394))))</f>
        <v>186</v>
      </c>
      <c r="N2394" s="111">
        <f>IF(M2394=0,0,(M2394/J2394))</f>
        <v>0.22248803827751196</v>
      </c>
    </row>
    <row r="2395" spans="2:14">
      <c r="B2395" s="73">
        <v>127754</v>
      </c>
      <c r="C2395" s="23" t="str">
        <f>"PALMBEACH"</f>
        <v>PALMBEACH</v>
      </c>
      <c r="D2395" s="123">
        <f>SUMIF(B$3:B$3844,B2395,M$3:M$3844)/(SUMIF(B$3:B$3844,B2395,J$3:J$3844))</f>
        <v>0.61922547211652934</v>
      </c>
      <c r="E2395" s="23">
        <v>37307</v>
      </c>
      <c r="F2395" s="46" t="s">
        <v>2193</v>
      </c>
      <c r="G2395" s="23"/>
      <c r="H2395" s="23"/>
      <c r="I2395" s="41"/>
      <c r="J2395" s="41">
        <v>0</v>
      </c>
      <c r="K2395" s="118"/>
      <c r="L2395" s="119"/>
      <c r="M2395" s="110">
        <f>IF(L2395="",I2395,(MIN(J2395,(L2395*1.6*J2395))))</f>
        <v>0</v>
      </c>
      <c r="N2395" s="111">
        <f>IF(M2395=0,0,(M2395/J2395))</f>
        <v>0</v>
      </c>
    </row>
    <row r="2396" spans="2:14" ht="30">
      <c r="B2396" s="72">
        <v>127754</v>
      </c>
      <c r="C2396" s="47" t="str">
        <f>"PALMBEACH"</f>
        <v>PALMBEACH</v>
      </c>
      <c r="D2396" s="123">
        <f>SUMIF(B$3:B$3844,B2396,M$3:M$3844)/(SUMIF(B$3:B$3844,B2396,J$3:J$3844))</f>
        <v>0.61922547211652934</v>
      </c>
      <c r="E2396" s="47">
        <v>37262</v>
      </c>
      <c r="F2396" s="48" t="s">
        <v>2194</v>
      </c>
      <c r="G2396" s="47"/>
      <c r="H2396" s="47"/>
      <c r="I2396" s="40">
        <v>313</v>
      </c>
      <c r="J2396" s="40">
        <v>1400</v>
      </c>
      <c r="K2396" s="118"/>
      <c r="L2396" s="119"/>
      <c r="M2396" s="110">
        <f>IF(L2396="",I2396,(MIN(J2396,(L2396*1.6*J2396))))</f>
        <v>313</v>
      </c>
      <c r="N2396" s="111">
        <f>IF(M2396=0,0,(M2396/J2396))</f>
        <v>0.22357142857142856</v>
      </c>
    </row>
    <row r="2397" spans="2:14">
      <c r="B2397" s="73">
        <v>127754</v>
      </c>
      <c r="C2397" s="23" t="str">
        <f>"PALMBEACH"</f>
        <v>PALMBEACH</v>
      </c>
      <c r="D2397" s="123">
        <f>SUMIF(B$3:B$3844,B2397,M$3:M$3844)/(SUMIF(B$3:B$3844,B2397,J$3:J$3844))</f>
        <v>0.61922547211652934</v>
      </c>
      <c r="E2397" s="23">
        <v>37321</v>
      </c>
      <c r="F2397" s="46" t="str">
        <f>"ALLAMANDA ELEMENTARY SCHOOL"</f>
        <v>ALLAMANDA ELEMENTARY SCHOOL</v>
      </c>
      <c r="G2397" s="23"/>
      <c r="H2397" s="23"/>
      <c r="I2397" s="41">
        <v>402</v>
      </c>
      <c r="J2397" s="41">
        <v>659</v>
      </c>
      <c r="K2397" s="118"/>
      <c r="L2397" s="119"/>
      <c r="M2397" s="110">
        <f>IF(L2397="",I2397,(MIN(J2397,(L2397*1.6*J2397))))</f>
        <v>402</v>
      </c>
      <c r="N2397" s="111">
        <f>IF(M2397=0,0,(M2397/J2397))</f>
        <v>0.61001517450682852</v>
      </c>
    </row>
    <row r="2398" spans="2:14">
      <c r="B2398" s="72">
        <v>127754</v>
      </c>
      <c r="C2398" s="47" t="str">
        <f>"PALMBEACH"</f>
        <v>PALMBEACH</v>
      </c>
      <c r="D2398" s="123">
        <f>SUMIF(B$3:B$3844,B2398,M$3:M$3844)/(SUMIF(B$3:B$3844,B2398,J$3:J$3844))</f>
        <v>0.61922547211652934</v>
      </c>
      <c r="E2398" s="47">
        <v>37433</v>
      </c>
      <c r="F2398" s="48" t="s">
        <v>1471</v>
      </c>
      <c r="G2398" s="47"/>
      <c r="H2398" s="47"/>
      <c r="I2398" s="40">
        <v>1532</v>
      </c>
      <c r="J2398" s="40">
        <v>2324</v>
      </c>
      <c r="K2398" s="118"/>
      <c r="L2398" s="119"/>
      <c r="M2398" s="110">
        <f>IF(L2398="",I2398,(MIN(J2398,(L2398*1.6*J2398))))</f>
        <v>1532</v>
      </c>
      <c r="N2398" s="111">
        <f>IF(M2398=0,0,(M2398/J2398))</f>
        <v>0.65920826161790014</v>
      </c>
    </row>
    <row r="2399" spans="2:14">
      <c r="B2399" s="73">
        <v>127754</v>
      </c>
      <c r="C2399" s="23" t="str">
        <f>"PALMBEACH"</f>
        <v>PALMBEACH</v>
      </c>
      <c r="D2399" s="123">
        <f>SUMIF(B$3:B$3844,B2399,M$3:M$3844)/(SUMIF(B$3:B$3844,B2399,J$3:J$3844))</f>
        <v>0.61922547211652934</v>
      </c>
      <c r="E2399" s="23">
        <v>37295</v>
      </c>
      <c r="F2399" s="46" t="str">
        <f>"BAK MIDDLE SCHOOL OF THE ARTS"</f>
        <v>BAK MIDDLE SCHOOL OF THE ARTS</v>
      </c>
      <c r="G2399" s="23"/>
      <c r="H2399" s="23"/>
      <c r="I2399" s="41">
        <v>329</v>
      </c>
      <c r="J2399" s="41">
        <v>1357</v>
      </c>
      <c r="K2399" s="118"/>
      <c r="L2399" s="119"/>
      <c r="M2399" s="110">
        <f>IF(L2399="",I2399,(MIN(J2399,(L2399*1.6*J2399))))</f>
        <v>329</v>
      </c>
      <c r="N2399" s="111">
        <f>IF(M2399=0,0,(M2399/J2399))</f>
        <v>0.24244657332350775</v>
      </c>
    </row>
    <row r="2400" spans="2:14">
      <c r="B2400" s="72">
        <v>127754</v>
      </c>
      <c r="C2400" s="47" t="str">
        <f>"PALMBEACH"</f>
        <v>PALMBEACH</v>
      </c>
      <c r="D2400" s="123">
        <f>SUMIF(B$3:B$3844,B2400,M$3:M$3844)/(SUMIF(B$3:B$3844,B2400,J$3:J$3844))</f>
        <v>0.61922547211652934</v>
      </c>
      <c r="E2400" s="47">
        <v>37435</v>
      </c>
      <c r="F2400" s="48" t="str">
        <f>"BANYAN CREEK ELEMENTARY SCHOOL"</f>
        <v>BANYAN CREEK ELEMENTARY SCHOOL</v>
      </c>
      <c r="G2400" s="47"/>
      <c r="H2400" s="47"/>
      <c r="I2400" s="40">
        <v>518</v>
      </c>
      <c r="J2400" s="40">
        <v>983</v>
      </c>
      <c r="K2400" s="118"/>
      <c r="L2400" s="119"/>
      <c r="M2400" s="110">
        <f>IF(L2400="",I2400,(MIN(J2400,(L2400*1.6*J2400))))</f>
        <v>518</v>
      </c>
      <c r="N2400" s="111">
        <f>IF(M2400=0,0,(M2400/J2400))</f>
        <v>0.52695829094608337</v>
      </c>
    </row>
    <row r="2401" spans="2:14">
      <c r="B2401" s="73">
        <v>127754</v>
      </c>
      <c r="C2401" s="23" t="str">
        <f>"PALMBEACH"</f>
        <v>PALMBEACH</v>
      </c>
      <c r="D2401" s="123">
        <f>SUMIF(B$3:B$3844,B2401,M$3:M$3844)/(SUMIF(B$3:B$3844,B2401,J$3:J$3844))</f>
        <v>0.61922547211652934</v>
      </c>
      <c r="E2401" s="23">
        <v>37459</v>
      </c>
      <c r="F2401" s="46" t="str">
        <f>"BARTON ELEMENTARY SCHOOL"</f>
        <v>BARTON ELEMENTARY SCHOOL</v>
      </c>
      <c r="G2401" s="23"/>
      <c r="H2401" s="23"/>
      <c r="I2401" s="41">
        <v>936</v>
      </c>
      <c r="J2401" s="41">
        <v>950</v>
      </c>
      <c r="K2401" s="118"/>
      <c r="L2401" s="119"/>
      <c r="M2401" s="110">
        <f>IF(L2401="",I2401,(MIN(J2401,(L2401*1.6*J2401))))</f>
        <v>936</v>
      </c>
      <c r="N2401" s="111">
        <f>IF(M2401=0,0,(M2401/J2401))</f>
        <v>0.98526315789473684</v>
      </c>
    </row>
    <row r="2402" spans="2:14">
      <c r="B2402" s="72">
        <v>127754</v>
      </c>
      <c r="C2402" s="47" t="str">
        <f>"PALMBEACH"</f>
        <v>PALMBEACH</v>
      </c>
      <c r="D2402" s="123">
        <f>SUMIF(B$3:B$3844,B2402,M$3:M$3844)/(SUMIF(B$3:B$3844,B2402,J$3:J$3844))</f>
        <v>0.61922547211652934</v>
      </c>
      <c r="E2402" s="47">
        <v>226931</v>
      </c>
      <c r="F2402" s="48" t="s">
        <v>2195</v>
      </c>
      <c r="G2402" s="47"/>
      <c r="H2402" s="47"/>
      <c r="I2402" s="40">
        <v>137</v>
      </c>
      <c r="J2402" s="40">
        <v>785</v>
      </c>
      <c r="K2402" s="118"/>
      <c r="L2402" s="119"/>
      <c r="M2402" s="110">
        <f>IF(L2402="",I2402,(MIN(J2402,(L2402*1.6*J2402))))</f>
        <v>137</v>
      </c>
      <c r="N2402" s="111">
        <f>IF(M2402=0,0,(M2402/J2402))</f>
        <v>0.17452229299363056</v>
      </c>
    </row>
    <row r="2403" spans="2:14">
      <c r="B2403" s="73">
        <v>127754</v>
      </c>
      <c r="C2403" s="23" t="str">
        <f>"PALMBEACH"</f>
        <v>PALMBEACH</v>
      </c>
      <c r="D2403" s="123">
        <f>SUMIF(B$3:B$3844,B2403,M$3:M$3844)/(SUMIF(B$3:B$3844,B2403,J$3:J$3844))</f>
        <v>0.61922547211652934</v>
      </c>
      <c r="E2403" s="23">
        <v>37313</v>
      </c>
      <c r="F2403" s="46" t="str">
        <f>"BEAR LAKES MIDDLE SCHOOL"</f>
        <v>BEAR LAKES MIDDLE SCHOOL</v>
      </c>
      <c r="G2403" s="23"/>
      <c r="H2403" s="23"/>
      <c r="I2403" s="41">
        <v>659</v>
      </c>
      <c r="J2403" s="41">
        <v>723</v>
      </c>
      <c r="K2403" s="118"/>
      <c r="L2403" s="119"/>
      <c r="M2403" s="110">
        <f>IF(L2403="",I2403,(MIN(J2403,(L2403*1.6*J2403))))</f>
        <v>659</v>
      </c>
      <c r="N2403" s="111">
        <f>IF(M2403=0,0,(M2403/J2403))</f>
        <v>0.9114799446749654</v>
      </c>
    </row>
    <row r="2404" spans="2:14">
      <c r="B2404" s="72">
        <v>127754</v>
      </c>
      <c r="C2404" s="47" t="str">
        <f>"PALMBEACH"</f>
        <v>PALMBEACH</v>
      </c>
      <c r="D2404" s="123">
        <f>SUMIF(B$3:B$3844,B2404,M$3:M$3844)/(SUMIF(B$3:B$3844,B2404,J$3:J$3844))</f>
        <v>0.61922547211652934</v>
      </c>
      <c r="E2404" s="47">
        <v>37363</v>
      </c>
      <c r="F2404" s="48" t="str">
        <f>"BELLE GLADE ELEMENTARY SCHOOL"</f>
        <v>BELLE GLADE ELEMENTARY SCHOOL</v>
      </c>
      <c r="G2404" s="47"/>
      <c r="H2404" s="47"/>
      <c r="I2404" s="40">
        <v>641</v>
      </c>
      <c r="J2404" s="40">
        <v>659</v>
      </c>
      <c r="K2404" s="118"/>
      <c r="L2404" s="119"/>
      <c r="M2404" s="110">
        <f>IF(L2404="",I2404,(MIN(J2404,(L2404*1.6*J2404))))</f>
        <v>641</v>
      </c>
      <c r="N2404" s="111">
        <f>IF(M2404=0,0,(M2404/J2404))</f>
        <v>0.9726858877086495</v>
      </c>
    </row>
    <row r="2405" spans="2:14">
      <c r="B2405" s="73">
        <v>127754</v>
      </c>
      <c r="C2405" s="23" t="str">
        <f>"PALMBEACH"</f>
        <v>PALMBEACH</v>
      </c>
      <c r="D2405" s="123">
        <f>SUMIF(B$3:B$3844,B2405,M$3:M$3844)/(SUMIF(B$3:B$3844,B2405,J$3:J$3844))</f>
        <v>0.61922547211652934</v>
      </c>
      <c r="E2405" s="23">
        <v>37283</v>
      </c>
      <c r="F2405" s="46" t="str">
        <f>"BELVEDERE ELEMENTARY SCHOOL"</f>
        <v>BELVEDERE ELEMENTARY SCHOOL</v>
      </c>
      <c r="G2405" s="23"/>
      <c r="H2405" s="23"/>
      <c r="I2405" s="41">
        <v>498</v>
      </c>
      <c r="J2405" s="41">
        <v>535</v>
      </c>
      <c r="K2405" s="118"/>
      <c r="L2405" s="119"/>
      <c r="M2405" s="110">
        <f>IF(L2405="",I2405,(MIN(J2405,(L2405*1.6*J2405))))</f>
        <v>498</v>
      </c>
      <c r="N2405" s="111">
        <f>IF(M2405=0,0,(M2405/J2405))</f>
        <v>0.93084112149532705</v>
      </c>
    </row>
    <row r="2406" spans="2:14">
      <c r="B2406" s="72">
        <v>127754</v>
      </c>
      <c r="C2406" s="47" t="str">
        <f>"PALMBEACH"</f>
        <v>PALMBEACH</v>
      </c>
      <c r="D2406" s="123">
        <f>SUMIF(B$3:B$3844,B2406,M$3:M$3844)/(SUMIF(B$3:B$3844,B2406,J$3:J$3844))</f>
        <v>0.61922547211652934</v>
      </c>
      <c r="E2406" s="47">
        <v>232842</v>
      </c>
      <c r="F2406" s="48" t="s">
        <v>2196</v>
      </c>
      <c r="G2406" s="47"/>
      <c r="H2406" s="47"/>
      <c r="I2406" s="40">
        <v>523</v>
      </c>
      <c r="J2406" s="40">
        <v>568</v>
      </c>
      <c r="K2406" s="118"/>
      <c r="L2406" s="119"/>
      <c r="M2406" s="110">
        <f>IF(L2406="",I2406,(MIN(J2406,(L2406*1.6*J2406))))</f>
        <v>523</v>
      </c>
      <c r="N2406" s="111">
        <f>IF(M2406=0,0,(M2406/J2406))</f>
        <v>0.92077464788732399</v>
      </c>
    </row>
    <row r="2407" spans="2:14">
      <c r="B2407" s="73">
        <v>127754</v>
      </c>
      <c r="C2407" s="23" t="str">
        <f>"PALMBEACH"</f>
        <v>PALMBEACH</v>
      </c>
      <c r="D2407" s="123">
        <f>SUMIF(B$3:B$3844,B2407,M$3:M$3844)/(SUMIF(B$3:B$3844,B2407,J$3:J$3844))</f>
        <v>0.61922547211652934</v>
      </c>
      <c r="E2407" s="23">
        <v>37291</v>
      </c>
      <c r="F2407" s="46" t="str">
        <f>"BERKSHIRE ELEMENTARY SCHOOL"</f>
        <v>BERKSHIRE ELEMENTARY SCHOOL</v>
      </c>
      <c r="G2407" s="23"/>
      <c r="H2407" s="23"/>
      <c r="I2407" s="41">
        <v>957</v>
      </c>
      <c r="J2407" s="41">
        <v>1122</v>
      </c>
      <c r="K2407" s="118"/>
      <c r="L2407" s="119"/>
      <c r="M2407" s="110">
        <f>IF(L2407="",I2407,(MIN(J2407,(L2407*1.6*J2407))))</f>
        <v>957</v>
      </c>
      <c r="N2407" s="111">
        <f>IF(M2407=0,0,(M2407/J2407))</f>
        <v>0.8529411764705882</v>
      </c>
    </row>
    <row r="2408" spans="2:14">
      <c r="B2408" s="72">
        <v>127754</v>
      </c>
      <c r="C2408" s="47" t="str">
        <f>"PALMBEACH"</f>
        <v>PALMBEACH</v>
      </c>
      <c r="D2408" s="123">
        <f>SUMIF(B$3:B$3844,B2408,M$3:M$3844)/(SUMIF(B$3:B$3844,B2408,J$3:J$3844))</f>
        <v>0.61922547211652934</v>
      </c>
      <c r="E2408" s="47">
        <v>215013</v>
      </c>
      <c r="F2408" s="48" t="str">
        <f>"BINKS FOREST ELEMENTARY SCHOOL"</f>
        <v>BINKS FOREST ELEMENTARY SCHOOL</v>
      </c>
      <c r="G2408" s="47"/>
      <c r="H2408" s="47"/>
      <c r="I2408" s="40">
        <v>225</v>
      </c>
      <c r="J2408" s="40">
        <v>1014</v>
      </c>
      <c r="K2408" s="118"/>
      <c r="L2408" s="119"/>
      <c r="M2408" s="110">
        <f>IF(L2408="",I2408,(MIN(J2408,(L2408*1.6*J2408))))</f>
        <v>225</v>
      </c>
      <c r="N2408" s="111">
        <f>IF(M2408=0,0,(M2408/J2408))</f>
        <v>0.22189349112426035</v>
      </c>
    </row>
    <row r="2409" spans="2:14">
      <c r="B2409" s="73">
        <v>127754</v>
      </c>
      <c r="C2409" s="23" t="str">
        <f>"PALMBEACH"</f>
        <v>PALMBEACH</v>
      </c>
      <c r="D2409" s="123">
        <f>SUMIF(B$3:B$3844,B2409,M$3:M$3844)/(SUMIF(B$3:B$3844,B2409,J$3:J$3844))</f>
        <v>0.61922547211652934</v>
      </c>
      <c r="E2409" s="23">
        <v>37505</v>
      </c>
      <c r="F2409" s="46" t="s">
        <v>2197</v>
      </c>
      <c r="G2409" s="23"/>
      <c r="H2409" s="23"/>
      <c r="I2409" s="41">
        <v>1167</v>
      </c>
      <c r="J2409" s="41">
        <v>3305</v>
      </c>
      <c r="K2409" s="118"/>
      <c r="L2409" s="119"/>
      <c r="M2409" s="110">
        <f>IF(L2409="",I2409,(MIN(J2409,(L2409*1.6*J2409))))</f>
        <v>1167</v>
      </c>
      <c r="N2409" s="111">
        <f>IF(M2409=0,0,(M2409/J2409))</f>
        <v>0.35310136157337368</v>
      </c>
    </row>
    <row r="2410" spans="2:14">
      <c r="B2410" s="72">
        <v>127754</v>
      </c>
      <c r="C2410" s="47" t="str">
        <f>"PALMBEACH"</f>
        <v>PALMBEACH</v>
      </c>
      <c r="D2410" s="123">
        <f>SUMIF(B$3:B$3844,B2410,M$3:M$3844)/(SUMIF(B$3:B$3844,B2410,J$3:J$3844))</f>
        <v>0.61922547211652934</v>
      </c>
      <c r="E2410" s="47">
        <v>37506</v>
      </c>
      <c r="F2410" s="48" t="s">
        <v>2198</v>
      </c>
      <c r="G2410" s="47"/>
      <c r="H2410" s="47"/>
      <c r="I2410" s="40">
        <v>683</v>
      </c>
      <c r="J2410" s="40">
        <v>1536</v>
      </c>
      <c r="K2410" s="118"/>
      <c r="L2410" s="119"/>
      <c r="M2410" s="110">
        <f>IF(L2410="",I2410,(MIN(J2410,(L2410*1.6*J2410))))</f>
        <v>683</v>
      </c>
      <c r="N2410" s="111">
        <f>IF(M2410=0,0,(M2410/J2410))</f>
        <v>0.44466145833333331</v>
      </c>
    </row>
    <row r="2411" spans="2:14">
      <c r="B2411" s="73">
        <v>127754</v>
      </c>
      <c r="C2411" s="23" t="str">
        <f>"PALMBEACH"</f>
        <v>PALMBEACH</v>
      </c>
      <c r="D2411" s="123">
        <f>SUMIF(B$3:B$3844,B2411,M$3:M$3844)/(SUMIF(B$3:B$3844,B2411,J$3:J$3844))</f>
        <v>0.61922547211652934</v>
      </c>
      <c r="E2411" s="23">
        <v>37379</v>
      </c>
      <c r="F2411" s="46" t="str">
        <f>"BOCA RATON ELEMENTARY SCHOOL"</f>
        <v>BOCA RATON ELEMENTARY SCHOOL</v>
      </c>
      <c r="G2411" s="23"/>
      <c r="H2411" s="23"/>
      <c r="I2411" s="41">
        <v>249</v>
      </c>
      <c r="J2411" s="41">
        <v>355</v>
      </c>
      <c r="K2411" s="118"/>
      <c r="L2411" s="119"/>
      <c r="M2411" s="110">
        <f>IF(L2411="",I2411,(MIN(J2411,(L2411*1.6*J2411))))</f>
        <v>249</v>
      </c>
      <c r="N2411" s="111">
        <f>IF(M2411=0,0,(M2411/J2411))</f>
        <v>0.70140845070422531</v>
      </c>
    </row>
    <row r="2412" spans="2:14">
      <c r="B2412" s="72">
        <v>127754</v>
      </c>
      <c r="C2412" s="47" t="str">
        <f>"PALMBEACH"</f>
        <v>PALMBEACH</v>
      </c>
      <c r="D2412" s="123">
        <f>SUMIF(B$3:B$3844,B2412,M$3:M$3844)/(SUMIF(B$3:B$3844,B2412,J$3:J$3844))</f>
        <v>0.61922547211652934</v>
      </c>
      <c r="E2412" s="47">
        <v>226932</v>
      </c>
      <c r="F2412" s="48" t="str">
        <f>"BOYNTON BEACH COMMUNITY HIGH"</f>
        <v>BOYNTON BEACH COMMUNITY HIGH</v>
      </c>
      <c r="G2412" s="47"/>
      <c r="H2412" s="47"/>
      <c r="I2412" s="40">
        <v>1404</v>
      </c>
      <c r="J2412" s="40">
        <v>1837</v>
      </c>
      <c r="K2412" s="118"/>
      <c r="L2412" s="119"/>
      <c r="M2412" s="110">
        <f>IF(L2412="",I2412,(MIN(J2412,(L2412*1.6*J2412))))</f>
        <v>1404</v>
      </c>
      <c r="N2412" s="111">
        <f>IF(M2412=0,0,(M2412/J2412))</f>
        <v>0.76428960261295587</v>
      </c>
    </row>
    <row r="2413" spans="2:14">
      <c r="B2413" s="73">
        <v>127754</v>
      </c>
      <c r="C2413" s="23" t="str">
        <f>"PALMBEACH"</f>
        <v>PALMBEACH</v>
      </c>
      <c r="D2413" s="123">
        <f>SUMIF(B$3:B$3844,B2413,M$3:M$3844)/(SUMIF(B$3:B$3844,B2413,J$3:J$3844))</f>
        <v>0.61922547211652934</v>
      </c>
      <c r="E2413" s="23">
        <v>37514</v>
      </c>
      <c r="F2413" s="46" t="str">
        <f>"CALUSA ELEMENTARY SCHOOL"</f>
        <v>CALUSA ELEMENTARY SCHOOL</v>
      </c>
      <c r="G2413" s="23"/>
      <c r="H2413" s="23"/>
      <c r="I2413" s="41">
        <v>311</v>
      </c>
      <c r="J2413" s="41">
        <v>1102</v>
      </c>
      <c r="K2413" s="118"/>
      <c r="L2413" s="119"/>
      <c r="M2413" s="110">
        <f>IF(L2413="",I2413,(MIN(J2413,(L2413*1.6*J2413))))</f>
        <v>311</v>
      </c>
      <c r="N2413" s="111">
        <f>IF(M2413=0,0,(M2413/J2413))</f>
        <v>0.28221415607985478</v>
      </c>
    </row>
    <row r="2414" spans="2:14">
      <c r="B2414" s="72">
        <v>127754</v>
      </c>
      <c r="C2414" s="47" t="str">
        <f>"PALMBEACH"</f>
        <v>PALMBEACH</v>
      </c>
      <c r="D2414" s="123">
        <f>SUMIF(B$3:B$3844,B2414,M$3:M$3844)/(SUMIF(B$3:B$3844,B2414,J$3:J$3844))</f>
        <v>0.61922547211652934</v>
      </c>
      <c r="E2414" s="47">
        <v>213320</v>
      </c>
      <c r="F2414" s="48" t="s">
        <v>2199</v>
      </c>
      <c r="G2414" s="47"/>
      <c r="H2414" s="47"/>
      <c r="I2414" s="40"/>
      <c r="J2414" s="40">
        <v>0</v>
      </c>
      <c r="K2414" s="118"/>
      <c r="L2414" s="119"/>
      <c r="M2414" s="110">
        <f>IF(L2414="",I2414,(MIN(J2414,(L2414*1.6*J2414))))</f>
        <v>0</v>
      </c>
      <c r="N2414" s="111">
        <f>IF(M2414=0,0,(M2414/J2414))</f>
        <v>0</v>
      </c>
    </row>
    <row r="2415" spans="2:14">
      <c r="B2415" s="73">
        <v>127754</v>
      </c>
      <c r="C2415" s="23" t="str">
        <f>"PALMBEACH"</f>
        <v>PALMBEACH</v>
      </c>
      <c r="D2415" s="123">
        <f>SUMIF(B$3:B$3844,B2415,M$3:M$3844)/(SUMIF(B$3:B$3844,B2415,J$3:J$3844))</f>
        <v>0.61922547211652934</v>
      </c>
      <c r="E2415" s="23">
        <v>37436</v>
      </c>
      <c r="F2415" s="46" t="str">
        <f>"CARVER MIDDLE SCHOOL"</f>
        <v>CARVER MIDDLE SCHOOL</v>
      </c>
      <c r="G2415" s="23"/>
      <c r="H2415" s="23"/>
      <c r="I2415" s="41">
        <v>743</v>
      </c>
      <c r="J2415" s="41">
        <v>862</v>
      </c>
      <c r="K2415" s="118"/>
      <c r="L2415" s="119"/>
      <c r="M2415" s="110">
        <f>IF(L2415="",I2415,(MIN(J2415,(L2415*1.6*J2415))))</f>
        <v>743</v>
      </c>
      <c r="N2415" s="111">
        <f>IF(M2415=0,0,(M2415/J2415))</f>
        <v>0.86194895591647336</v>
      </c>
    </row>
    <row r="2416" spans="2:14">
      <c r="B2416" s="72">
        <v>127754</v>
      </c>
      <c r="C2416" s="47" t="str">
        <f>"PALMBEACH"</f>
        <v>PALMBEACH</v>
      </c>
      <c r="D2416" s="123">
        <f>SUMIF(B$3:B$3844,B2416,M$3:M$3844)/(SUMIF(B$3:B$3844,B2416,J$3:J$3844))</f>
        <v>0.61922547211652934</v>
      </c>
      <c r="E2416" s="47">
        <v>16025594</v>
      </c>
      <c r="F2416" s="48" t="str">
        <f>"CENTRAL TRANSPORTATION"</f>
        <v>CENTRAL TRANSPORTATION</v>
      </c>
      <c r="G2416" s="47"/>
      <c r="H2416" s="47"/>
      <c r="I2416" s="40"/>
      <c r="J2416" s="40">
        <v>0</v>
      </c>
      <c r="K2416" s="118"/>
      <c r="L2416" s="119"/>
      <c r="M2416" s="110">
        <f>IF(L2416="",I2416,(MIN(J2416,(L2416*1.6*J2416))))</f>
        <v>0</v>
      </c>
      <c r="N2416" s="111">
        <f>IF(M2416=0,0,(M2416/J2416))</f>
        <v>0</v>
      </c>
    </row>
    <row r="2417" spans="2:14">
      <c r="B2417" s="73">
        <v>127754</v>
      </c>
      <c r="C2417" s="23" t="str">
        <f>"PALMBEACH"</f>
        <v>PALMBEACH</v>
      </c>
      <c r="D2417" s="123">
        <f>SUMIF(B$3:B$3844,B2417,M$3:M$3844)/(SUMIF(B$3:B$3844,B2417,J$3:J$3844))</f>
        <v>0.61922547211652934</v>
      </c>
      <c r="E2417" s="23">
        <v>232843</v>
      </c>
      <c r="F2417" s="46" t="str">
        <f>"CHOLEE LAKE ELEMENTARY SCHOOL"</f>
        <v>CHOLEE LAKE ELEMENTARY SCHOOL</v>
      </c>
      <c r="G2417" s="23"/>
      <c r="H2417" s="23"/>
      <c r="I2417" s="41">
        <v>1023</v>
      </c>
      <c r="J2417" s="41">
        <v>1104</v>
      </c>
      <c r="K2417" s="118"/>
      <c r="L2417" s="119"/>
      <c r="M2417" s="110">
        <f>IF(L2417="",I2417,(MIN(J2417,(L2417*1.6*J2417))))</f>
        <v>1023</v>
      </c>
      <c r="N2417" s="111">
        <f>IF(M2417=0,0,(M2417/J2417))</f>
        <v>0.92663043478260865</v>
      </c>
    </row>
    <row r="2418" spans="2:14">
      <c r="B2418" s="72">
        <v>127754</v>
      </c>
      <c r="C2418" s="47" t="str">
        <f>"PALMBEACH"</f>
        <v>PALMBEACH</v>
      </c>
      <c r="D2418" s="123">
        <f>SUMIF(B$3:B$3844,B2418,M$3:M$3844)/(SUMIF(B$3:B$3844,B2418,J$3:J$3844))</f>
        <v>0.61922547211652934</v>
      </c>
      <c r="E2418" s="47">
        <v>37402</v>
      </c>
      <c r="F2418" s="48" t="s">
        <v>2200</v>
      </c>
      <c r="G2418" s="47"/>
      <c r="H2418" s="47"/>
      <c r="I2418" s="40">
        <v>394</v>
      </c>
      <c r="J2418" s="40">
        <v>1122</v>
      </c>
      <c r="K2418" s="118"/>
      <c r="L2418" s="119"/>
      <c r="M2418" s="110">
        <f>IF(L2418="",I2418,(MIN(J2418,(L2418*1.6*J2418))))</f>
        <v>394</v>
      </c>
      <c r="N2418" s="111">
        <f>IF(M2418=0,0,(M2418/J2418))</f>
        <v>0.35115864527629231</v>
      </c>
    </row>
    <row r="2419" spans="2:14">
      <c r="B2419" s="73">
        <v>127754</v>
      </c>
      <c r="C2419" s="23" t="str">
        <f>"PALMBEACH"</f>
        <v>PALMBEACH</v>
      </c>
      <c r="D2419" s="123">
        <f>SUMIF(B$3:B$3844,B2419,M$3:M$3844)/(SUMIF(B$3:B$3844,B2419,J$3:J$3844))</f>
        <v>0.61922547211652934</v>
      </c>
      <c r="E2419" s="23">
        <v>37400</v>
      </c>
      <c r="F2419" s="46" t="str">
        <f>"CITRUS COVE ELEMENTARY SCHOOL"</f>
        <v>CITRUS COVE ELEMENTARY SCHOOL</v>
      </c>
      <c r="G2419" s="23"/>
      <c r="H2419" s="23"/>
      <c r="I2419" s="41">
        <v>596</v>
      </c>
      <c r="J2419" s="41">
        <v>1054</v>
      </c>
      <c r="K2419" s="118"/>
      <c r="L2419" s="119"/>
      <c r="M2419" s="110">
        <f>IF(L2419="",I2419,(MIN(J2419,(L2419*1.6*J2419))))</f>
        <v>596</v>
      </c>
      <c r="N2419" s="111">
        <f>IF(M2419=0,0,(M2419/J2419))</f>
        <v>0.56546489563567359</v>
      </c>
    </row>
    <row r="2420" spans="2:14">
      <c r="B2420" s="72">
        <v>127754</v>
      </c>
      <c r="C2420" s="47" t="str">
        <f>"PALMBEACH"</f>
        <v>PALMBEACH</v>
      </c>
      <c r="D2420" s="123">
        <f>SUMIF(B$3:B$3844,B2420,M$3:M$3844)/(SUMIF(B$3:B$3844,B2420,J$3:J$3844))</f>
        <v>0.61922547211652934</v>
      </c>
      <c r="E2420" s="47">
        <v>37460</v>
      </c>
      <c r="F2420" s="48" t="s">
        <v>2201</v>
      </c>
      <c r="G2420" s="47"/>
      <c r="H2420" s="47"/>
      <c r="I2420" s="40">
        <v>1061</v>
      </c>
      <c r="J2420" s="40">
        <v>1209</v>
      </c>
      <c r="K2420" s="118"/>
      <c r="L2420" s="119"/>
      <c r="M2420" s="110">
        <f>IF(L2420="",I2420,(MIN(J2420,(L2420*1.6*J2420))))</f>
        <v>1061</v>
      </c>
      <c r="N2420" s="111">
        <f>IF(M2420=0,0,(M2420/J2420))</f>
        <v>0.87758478081058722</v>
      </c>
    </row>
    <row r="2421" spans="2:14">
      <c r="B2421" s="73">
        <v>127754</v>
      </c>
      <c r="C2421" s="23" t="str">
        <f>"PALMBEACH"</f>
        <v>PALMBEACH</v>
      </c>
      <c r="D2421" s="123">
        <f>SUMIF(B$3:B$3844,B2421,M$3:M$3844)/(SUMIF(B$3:B$3844,B2421,J$3:J$3844))</f>
        <v>0.61922547211652934</v>
      </c>
      <c r="E2421" s="23">
        <v>37355</v>
      </c>
      <c r="F2421" s="46" t="s">
        <v>2202</v>
      </c>
      <c r="G2421" s="23"/>
      <c r="H2421" s="23"/>
      <c r="I2421" s="41">
        <v>792</v>
      </c>
      <c r="J2421" s="41">
        <v>931</v>
      </c>
      <c r="K2421" s="118"/>
      <c r="L2421" s="119"/>
      <c r="M2421" s="110">
        <f>IF(L2421="",I2421,(MIN(J2421,(L2421*1.6*J2421))))</f>
        <v>792</v>
      </c>
      <c r="N2421" s="111">
        <f>IF(M2421=0,0,(M2421/J2421))</f>
        <v>0.85069817400644465</v>
      </c>
    </row>
    <row r="2422" spans="2:14">
      <c r="B2422" s="72">
        <v>127754</v>
      </c>
      <c r="C2422" s="47" t="str">
        <f>"PALMBEACH"</f>
        <v>PALMBEACH</v>
      </c>
      <c r="D2422" s="123">
        <f>SUMIF(B$3:B$3844,B2422,M$3:M$3844)/(SUMIF(B$3:B$3844,B2422,J$3:J$3844))</f>
        <v>0.61922547211652934</v>
      </c>
      <c r="E2422" s="47">
        <v>37284</v>
      </c>
      <c r="F2422" s="48" t="str">
        <f>"CONNISTON MIDDLE SCHOOL"</f>
        <v>CONNISTON MIDDLE SCHOOL</v>
      </c>
      <c r="G2422" s="47"/>
      <c r="H2422" s="47"/>
      <c r="I2422" s="40">
        <v>974</v>
      </c>
      <c r="J2422" s="40">
        <v>1178</v>
      </c>
      <c r="K2422" s="118"/>
      <c r="L2422" s="119"/>
      <c r="M2422" s="110">
        <f>IF(L2422="",I2422,(MIN(J2422,(L2422*1.6*J2422))))</f>
        <v>974</v>
      </c>
      <c r="N2422" s="111">
        <f>IF(M2422=0,0,(M2422/J2422))</f>
        <v>0.82682512733446523</v>
      </c>
    </row>
    <row r="2423" spans="2:14">
      <c r="B2423" s="73">
        <v>127754</v>
      </c>
      <c r="C2423" s="23" t="str">
        <f>"PALMBEACH"</f>
        <v>PALMBEACH</v>
      </c>
      <c r="D2423" s="123">
        <f>SUMIF(B$3:B$3844,B2423,M$3:M$3844)/(SUMIF(B$3:B$3844,B2423,J$3:J$3844))</f>
        <v>0.61922547211652934</v>
      </c>
      <c r="E2423" s="23">
        <v>215014</v>
      </c>
      <c r="F2423" s="46" t="str">
        <f>"CORAL REEF ELEMENTARY SCHOOL"</f>
        <v>CORAL REEF ELEMENTARY SCHOOL</v>
      </c>
      <c r="G2423" s="23"/>
      <c r="H2423" s="23"/>
      <c r="I2423" s="41">
        <v>357</v>
      </c>
      <c r="J2423" s="41">
        <v>993</v>
      </c>
      <c r="K2423" s="118"/>
      <c r="L2423" s="119"/>
      <c r="M2423" s="110">
        <f>IF(L2423="",I2423,(MIN(J2423,(L2423*1.6*J2423))))</f>
        <v>357</v>
      </c>
      <c r="N2423" s="111">
        <f>IF(M2423=0,0,(M2423/J2423))</f>
        <v>0.3595166163141994</v>
      </c>
    </row>
    <row r="2424" spans="2:14">
      <c r="B2424" s="72">
        <v>127754</v>
      </c>
      <c r="C2424" s="47" t="str">
        <f>"PALMBEACH"</f>
        <v>PALMBEACH</v>
      </c>
      <c r="D2424" s="123">
        <f>SUMIF(B$3:B$3844,B2424,M$3:M$3844)/(SUMIF(B$3:B$3844,B2424,J$3:J$3844))</f>
        <v>0.61922547211652934</v>
      </c>
      <c r="E2424" s="47">
        <v>37358</v>
      </c>
      <c r="F2424" s="48" t="str">
        <f>"CORAL SUNSET ELEMENTARY SCHOOL"</f>
        <v>CORAL SUNSET ELEMENTARY SCHOOL</v>
      </c>
      <c r="G2424" s="47"/>
      <c r="H2424" s="47"/>
      <c r="I2424" s="40">
        <v>527</v>
      </c>
      <c r="J2424" s="40">
        <v>781</v>
      </c>
      <c r="K2424" s="118"/>
      <c r="L2424" s="119"/>
      <c r="M2424" s="110">
        <f>IF(L2424="",I2424,(MIN(J2424,(L2424*1.6*J2424))))</f>
        <v>527</v>
      </c>
      <c r="N2424" s="111">
        <f>IF(M2424=0,0,(M2424/J2424))</f>
        <v>0.67477592829705502</v>
      </c>
    </row>
    <row r="2425" spans="2:14">
      <c r="B2425" s="73">
        <v>127754</v>
      </c>
      <c r="C2425" s="23" t="str">
        <f>"PALMBEACH"</f>
        <v>PALMBEACH</v>
      </c>
      <c r="D2425" s="123">
        <f>SUMIF(B$3:B$3844,B2425,M$3:M$3844)/(SUMIF(B$3:B$3844,B2425,J$3:J$3844))</f>
        <v>0.61922547211652934</v>
      </c>
      <c r="E2425" s="23">
        <v>37328</v>
      </c>
      <c r="F2425" s="46" t="str">
        <f>"CRESTWOOD COMMUNITY MIDDLE"</f>
        <v>CRESTWOOD COMMUNITY MIDDLE</v>
      </c>
      <c r="G2425" s="23"/>
      <c r="H2425" s="23"/>
      <c r="I2425" s="41">
        <v>534</v>
      </c>
      <c r="J2425" s="41">
        <v>860</v>
      </c>
      <c r="K2425" s="118"/>
      <c r="L2425" s="119"/>
      <c r="M2425" s="110">
        <f>IF(L2425="",I2425,(MIN(J2425,(L2425*1.6*J2425))))</f>
        <v>534</v>
      </c>
      <c r="N2425" s="111">
        <f>IF(M2425=0,0,(M2425/J2425))</f>
        <v>0.62093023255813951</v>
      </c>
    </row>
    <row r="2426" spans="2:14">
      <c r="B2426" s="72">
        <v>127754</v>
      </c>
      <c r="C2426" s="47" t="str">
        <f>"PALMBEACH"</f>
        <v>PALMBEACH</v>
      </c>
      <c r="D2426" s="123">
        <f>SUMIF(B$3:B$3844,B2426,M$3:M$3844)/(SUMIF(B$3:B$3844,B2426,J$3:J$3844))</f>
        <v>0.61922547211652934</v>
      </c>
      <c r="E2426" s="47">
        <v>232857</v>
      </c>
      <c r="F2426" s="48" t="str">
        <f>"CROSSPOINTE ELEMENTARY SCHOOL"</f>
        <v>CROSSPOINTE ELEMENTARY SCHOOL</v>
      </c>
      <c r="G2426" s="47"/>
      <c r="H2426" s="47"/>
      <c r="I2426" s="40">
        <v>615</v>
      </c>
      <c r="J2426" s="40">
        <v>687</v>
      </c>
      <c r="K2426" s="118"/>
      <c r="L2426" s="119"/>
      <c r="M2426" s="110">
        <f>IF(L2426="",I2426,(MIN(J2426,(L2426*1.6*J2426))))</f>
        <v>615</v>
      </c>
      <c r="N2426" s="111">
        <f>IF(M2426=0,0,(M2426/J2426))</f>
        <v>0.89519650655021832</v>
      </c>
    </row>
    <row r="2427" spans="2:14">
      <c r="B2427" s="73">
        <v>127754</v>
      </c>
      <c r="C2427" s="23" t="str">
        <f>"PALMBEACH"</f>
        <v>PALMBEACH</v>
      </c>
      <c r="D2427" s="123">
        <f>SUMIF(B$3:B$3844,B2427,M$3:M$3844)/(SUMIF(B$3:B$3844,B2427,J$3:J$3844))</f>
        <v>0.61922547211652934</v>
      </c>
      <c r="E2427" s="23">
        <v>220931</v>
      </c>
      <c r="F2427" s="46" t="str">
        <f>"CROSSROADS ACADEMY"</f>
        <v>CROSSROADS ACADEMY</v>
      </c>
      <c r="G2427" s="23"/>
      <c r="H2427" s="23"/>
      <c r="I2427" s="41">
        <v>159</v>
      </c>
      <c r="J2427" s="41">
        <v>181</v>
      </c>
      <c r="K2427" s="118"/>
      <c r="L2427" s="119"/>
      <c r="M2427" s="110">
        <f>IF(L2427="",I2427,(MIN(J2427,(L2427*1.6*J2427))))</f>
        <v>159</v>
      </c>
      <c r="N2427" s="111">
        <f>IF(M2427=0,0,(M2427/J2427))</f>
        <v>0.87845303867403313</v>
      </c>
    </row>
    <row r="2428" spans="2:14">
      <c r="B2428" s="72">
        <v>127754</v>
      </c>
      <c r="C2428" s="47" t="str">
        <f>"PALMBEACH"</f>
        <v>PALMBEACH</v>
      </c>
      <c r="D2428" s="123">
        <f>SUMIF(B$3:B$3844,B2428,M$3:M$3844)/(SUMIF(B$3:B$3844,B2428,J$3:J$3844))</f>
        <v>0.61922547211652934</v>
      </c>
      <c r="E2428" s="47">
        <v>37401</v>
      </c>
      <c r="F2428" s="48" t="s">
        <v>2203</v>
      </c>
      <c r="G2428" s="47"/>
      <c r="H2428" s="47"/>
      <c r="I2428" s="40">
        <v>303</v>
      </c>
      <c r="J2428" s="40">
        <v>677</v>
      </c>
      <c r="K2428" s="118"/>
      <c r="L2428" s="119"/>
      <c r="M2428" s="110">
        <f>IF(L2428="",I2428,(MIN(J2428,(L2428*1.6*J2428))))</f>
        <v>303</v>
      </c>
      <c r="N2428" s="111">
        <f>IF(M2428=0,0,(M2428/J2428))</f>
        <v>0.44756277695716395</v>
      </c>
    </row>
    <row r="2429" spans="2:14">
      <c r="B2429" s="73">
        <v>127754</v>
      </c>
      <c r="C2429" s="23" t="str">
        <f>"PALMBEACH"</f>
        <v>PALMBEACH</v>
      </c>
      <c r="D2429" s="123">
        <f>SUMIF(B$3:B$3844,B2429,M$3:M$3844)/(SUMIF(B$3:B$3844,B2429,J$3:J$3844))</f>
        <v>0.61922547211652934</v>
      </c>
      <c r="E2429" s="23">
        <v>37326</v>
      </c>
      <c r="F2429" s="46" t="s">
        <v>2204</v>
      </c>
      <c r="G2429" s="23"/>
      <c r="H2429" s="23"/>
      <c r="I2429" s="41">
        <v>302</v>
      </c>
      <c r="J2429" s="41">
        <v>429</v>
      </c>
      <c r="K2429" s="118"/>
      <c r="L2429" s="119"/>
      <c r="M2429" s="110">
        <f>IF(L2429="",I2429,(MIN(J2429,(L2429*1.6*J2429))))</f>
        <v>302</v>
      </c>
      <c r="N2429" s="111">
        <f>IF(M2429=0,0,(M2429/J2429))</f>
        <v>0.703962703962704</v>
      </c>
    </row>
    <row r="2430" spans="2:14">
      <c r="B2430" s="72">
        <v>127754</v>
      </c>
      <c r="C2430" s="47" t="str">
        <f>"PALMBEACH"</f>
        <v>PALMBEACH</v>
      </c>
      <c r="D2430" s="123">
        <f>SUMIF(B$3:B$3844,B2430,M$3:M$3844)/(SUMIF(B$3:B$3844,B2430,J$3:J$3844))</f>
        <v>0.61922547211652934</v>
      </c>
      <c r="E2430" s="47">
        <v>37382</v>
      </c>
      <c r="F2430" s="48" t="str">
        <f>"DEL PRADO ELEMENTARY SCHOOL"</f>
        <v>DEL PRADO ELEMENTARY SCHOOL</v>
      </c>
      <c r="G2430" s="47"/>
      <c r="H2430" s="47"/>
      <c r="I2430" s="40">
        <v>262</v>
      </c>
      <c r="J2430" s="40">
        <v>890</v>
      </c>
      <c r="K2430" s="118"/>
      <c r="L2430" s="119"/>
      <c r="M2430" s="110">
        <f>IF(L2430="",I2430,(MIN(J2430,(L2430*1.6*J2430))))</f>
        <v>262</v>
      </c>
      <c r="N2430" s="111">
        <f>IF(M2430=0,0,(M2430/J2430))</f>
        <v>0.29438202247191009</v>
      </c>
    </row>
    <row r="2431" spans="2:14">
      <c r="B2431" s="73">
        <v>127754</v>
      </c>
      <c r="C2431" s="23" t="str">
        <f>"PALMBEACH"</f>
        <v>PALMBEACH</v>
      </c>
      <c r="D2431" s="123">
        <f>SUMIF(B$3:B$3844,B2431,M$3:M$3844)/(SUMIF(B$3:B$3844,B2431,J$3:J$3844))</f>
        <v>0.61922547211652934</v>
      </c>
      <c r="E2431" s="23">
        <v>37426</v>
      </c>
      <c r="F2431" s="46" t="str">
        <f>"DELRAY FULL SERVICE CENTER"</f>
        <v>DELRAY FULL SERVICE CENTER</v>
      </c>
      <c r="G2431" s="23"/>
      <c r="H2431" s="23"/>
      <c r="I2431" s="41"/>
      <c r="J2431" s="41">
        <v>0</v>
      </c>
      <c r="K2431" s="118"/>
      <c r="L2431" s="119"/>
      <c r="M2431" s="110">
        <f>IF(L2431="",I2431,(MIN(J2431,(L2431*1.6*J2431))))</f>
        <v>0</v>
      </c>
      <c r="N2431" s="111">
        <f>IF(M2431=0,0,(M2431/J2431))</f>
        <v>0</v>
      </c>
    </row>
    <row r="2432" spans="2:14">
      <c r="B2432" s="72">
        <v>127754</v>
      </c>
      <c r="C2432" s="47" t="str">
        <f>"PALMBEACH"</f>
        <v>PALMBEACH</v>
      </c>
      <c r="D2432" s="123">
        <f>SUMIF(B$3:B$3844,B2432,M$3:M$3844)/(SUMIF(B$3:B$3844,B2432,J$3:J$3844))</f>
        <v>0.61922547211652934</v>
      </c>
      <c r="E2432" s="47">
        <v>14709873</v>
      </c>
      <c r="F2432" s="48" t="str">
        <f>"DIAMOND VIEW ELEMENTARY SCHOOL"</f>
        <v>DIAMOND VIEW ELEMENTARY SCHOOL</v>
      </c>
      <c r="G2432" s="47"/>
      <c r="H2432" s="47"/>
      <c r="I2432" s="40">
        <v>705</v>
      </c>
      <c r="J2432" s="40">
        <v>839</v>
      </c>
      <c r="K2432" s="118"/>
      <c r="L2432" s="119"/>
      <c r="M2432" s="110">
        <f>IF(L2432="",I2432,(MIN(J2432,(L2432*1.6*J2432))))</f>
        <v>705</v>
      </c>
      <c r="N2432" s="111">
        <f>IF(M2432=0,0,(M2432/J2432))</f>
        <v>0.84028605482717522</v>
      </c>
    </row>
    <row r="2433" spans="2:14">
      <c r="B2433" s="73">
        <v>127754</v>
      </c>
      <c r="C2433" s="23" t="str">
        <f>"PALMBEACH"</f>
        <v>PALMBEACH</v>
      </c>
      <c r="D2433" s="123">
        <f>SUMIF(B$3:B$3844,B2433,M$3:M$3844)/(SUMIF(B$3:B$3844,B2433,J$3:J$3844))</f>
        <v>0.61922547211652934</v>
      </c>
      <c r="E2433" s="23">
        <v>226933</v>
      </c>
      <c r="F2433" s="46" t="s">
        <v>2205</v>
      </c>
      <c r="G2433" s="23"/>
      <c r="H2433" s="23"/>
      <c r="I2433" s="41">
        <v>338</v>
      </c>
      <c r="J2433" s="41">
        <v>808</v>
      </c>
      <c r="K2433" s="118"/>
      <c r="L2433" s="119"/>
      <c r="M2433" s="110">
        <f>IF(L2433="",I2433,(MIN(J2433,(L2433*1.6*J2433))))</f>
        <v>338</v>
      </c>
      <c r="N2433" s="111">
        <f>IF(M2433=0,0,(M2433/J2433))</f>
        <v>0.4183168316831683</v>
      </c>
    </row>
    <row r="2434" spans="2:14">
      <c r="B2434" s="72">
        <v>127754</v>
      </c>
      <c r="C2434" s="47" t="str">
        <f>"PALMBEACH"</f>
        <v>PALMBEACH</v>
      </c>
      <c r="D2434" s="123">
        <f>SUMIF(B$3:B$3844,B2434,M$3:M$3844)/(SUMIF(B$3:B$3844,B2434,J$3:J$3844))</f>
        <v>0.61922547211652934</v>
      </c>
      <c r="E2434" s="47">
        <v>16025583</v>
      </c>
      <c r="F2434" s="48" t="s">
        <v>2206</v>
      </c>
      <c r="G2434" s="47"/>
      <c r="H2434" s="47"/>
      <c r="I2434" s="40">
        <v>432</v>
      </c>
      <c r="J2434" s="40">
        <v>1254</v>
      </c>
      <c r="K2434" s="118"/>
      <c r="L2434" s="119"/>
      <c r="M2434" s="110">
        <f>IF(L2434="",I2434,(MIN(J2434,(L2434*1.6*J2434))))</f>
        <v>432</v>
      </c>
      <c r="N2434" s="111">
        <f>IF(M2434=0,0,(M2434/J2434))</f>
        <v>0.34449760765550241</v>
      </c>
    </row>
    <row r="2435" spans="2:14">
      <c r="B2435" s="73">
        <v>127754</v>
      </c>
      <c r="C2435" s="23" t="str">
        <f>"PALMBEACH"</f>
        <v>PALMBEACH</v>
      </c>
      <c r="D2435" s="123">
        <f>SUMIF(B$3:B$3844,B2435,M$3:M$3844)/(SUMIF(B$3:B$3844,B2435,J$3:J$3844))</f>
        <v>0.61922547211652934</v>
      </c>
      <c r="E2435" s="23">
        <v>220929</v>
      </c>
      <c r="F2435" s="46" t="s">
        <v>2207</v>
      </c>
      <c r="G2435" s="23"/>
      <c r="H2435" s="23"/>
      <c r="I2435" s="41">
        <v>529</v>
      </c>
      <c r="J2435" s="41">
        <v>551</v>
      </c>
      <c r="K2435" s="118"/>
      <c r="L2435" s="119"/>
      <c r="M2435" s="110">
        <f>IF(L2435="",I2435,(MIN(J2435,(L2435*1.6*J2435))))</f>
        <v>529</v>
      </c>
      <c r="N2435" s="111">
        <f>IF(M2435=0,0,(M2435/J2435))</f>
        <v>0.96007259528130673</v>
      </c>
    </row>
    <row r="2436" spans="2:14">
      <c r="B2436" s="72">
        <v>127754</v>
      </c>
      <c r="C2436" s="47" t="str">
        <f>"PALMBEACH"</f>
        <v>PALMBEACH</v>
      </c>
      <c r="D2436" s="123">
        <f>SUMIF(B$3:B$3844,B2436,M$3:M$3844)/(SUMIF(B$3:B$3844,B2436,J$3:J$3844))</f>
        <v>0.61922547211652934</v>
      </c>
      <c r="E2436" s="47">
        <v>37316</v>
      </c>
      <c r="F2436" s="48" t="s">
        <v>2208</v>
      </c>
      <c r="G2436" s="47"/>
      <c r="H2436" s="47"/>
      <c r="I2436" s="40">
        <v>333</v>
      </c>
      <c r="J2436" s="40">
        <v>555</v>
      </c>
      <c r="K2436" s="118"/>
      <c r="L2436" s="119"/>
      <c r="M2436" s="110">
        <f>IF(L2436="",I2436,(MIN(J2436,(L2436*1.6*J2436))))</f>
        <v>333</v>
      </c>
      <c r="N2436" s="111">
        <f>IF(M2436=0,0,(M2436/J2436))</f>
        <v>0.6</v>
      </c>
    </row>
    <row r="2437" spans="2:14">
      <c r="B2437" s="73">
        <v>127754</v>
      </c>
      <c r="C2437" s="23" t="str">
        <f>"PALMBEACH"</f>
        <v>PALMBEACH</v>
      </c>
      <c r="D2437" s="123">
        <f>SUMIF(B$3:B$3844,B2437,M$3:M$3844)/(SUMIF(B$3:B$3844,B2437,J$3:J$3844))</f>
        <v>0.61922547211652934</v>
      </c>
      <c r="E2437" s="23">
        <v>204603</v>
      </c>
      <c r="F2437" s="46" t="str">
        <f>"EAGLES LANDING MIDDLE SCHOOL"</f>
        <v>EAGLES LANDING MIDDLE SCHOOL</v>
      </c>
      <c r="G2437" s="23"/>
      <c r="H2437" s="23"/>
      <c r="I2437" s="41">
        <v>550</v>
      </c>
      <c r="J2437" s="41">
        <v>1344</v>
      </c>
      <c r="K2437" s="118"/>
      <c r="L2437" s="119"/>
      <c r="M2437" s="110">
        <f>IF(L2437="",I2437,(MIN(J2437,(L2437*1.6*J2437))))</f>
        <v>550</v>
      </c>
      <c r="N2437" s="111">
        <f>IF(M2437=0,0,(M2437/J2437))</f>
        <v>0.40922619047619047</v>
      </c>
    </row>
    <row r="2438" spans="2:14">
      <c r="B2438" s="72">
        <v>127754</v>
      </c>
      <c r="C2438" s="47" t="str">
        <f>"PALMBEACH"</f>
        <v>PALMBEACH</v>
      </c>
      <c r="D2438" s="123">
        <f>SUMIF(B$3:B$3844,B2438,M$3:M$3844)/(SUMIF(B$3:B$3844,B2438,J$3:J$3844))</f>
        <v>0.61922547211652934</v>
      </c>
      <c r="E2438" s="47">
        <v>16025600</v>
      </c>
      <c r="F2438" s="48" t="str">
        <f>"EAST TRANSPORTATION"</f>
        <v>EAST TRANSPORTATION</v>
      </c>
      <c r="G2438" s="47"/>
      <c r="H2438" s="47"/>
      <c r="I2438" s="40"/>
      <c r="J2438" s="40">
        <v>0</v>
      </c>
      <c r="K2438" s="118"/>
      <c r="L2438" s="119"/>
      <c r="M2438" s="110">
        <f>IF(L2438="",I2438,(MIN(J2438,(L2438*1.6*J2438))))</f>
        <v>0</v>
      </c>
      <c r="N2438" s="111">
        <f>IF(M2438=0,0,(M2438/J2438))</f>
        <v>0</v>
      </c>
    </row>
    <row r="2439" spans="2:14">
      <c r="B2439" s="73">
        <v>127754</v>
      </c>
      <c r="C2439" s="23" t="str">
        <f>"PALMBEACH"</f>
        <v>PALMBEACH</v>
      </c>
      <c r="D2439" s="123">
        <f>SUMIF(B$3:B$3844,B2439,M$3:M$3844)/(SUMIF(B$3:B$3844,B2439,J$3:J$3844))</f>
        <v>0.61922547211652934</v>
      </c>
      <c r="E2439" s="23">
        <v>37351</v>
      </c>
      <c r="F2439" s="46" t="str">
        <f>"EGRET LAKE ELEMENTARY SCHOOL"</f>
        <v>EGRET LAKE ELEMENTARY SCHOOL</v>
      </c>
      <c r="G2439" s="23"/>
      <c r="H2439" s="23"/>
      <c r="I2439" s="41">
        <v>608</v>
      </c>
      <c r="J2439" s="41">
        <v>683</v>
      </c>
      <c r="K2439" s="118"/>
      <c r="L2439" s="119"/>
      <c r="M2439" s="110">
        <f>IF(L2439="",I2439,(MIN(J2439,(L2439*1.6*J2439))))</f>
        <v>608</v>
      </c>
      <c r="N2439" s="111">
        <f>IF(M2439=0,0,(M2439/J2439))</f>
        <v>0.89019033674963399</v>
      </c>
    </row>
    <row r="2440" spans="2:14">
      <c r="B2440" s="72">
        <v>127754</v>
      </c>
      <c r="C2440" s="47" t="str">
        <f>"PALMBEACH"</f>
        <v>PALMBEACH</v>
      </c>
      <c r="D2440" s="123">
        <f>SUMIF(B$3:B$3844,B2440,M$3:M$3844)/(SUMIF(B$3:B$3844,B2440,J$3:J$3844))</f>
        <v>0.61922547211652934</v>
      </c>
      <c r="E2440" s="47">
        <v>16034472</v>
      </c>
      <c r="F2440" s="48" t="s">
        <v>2209</v>
      </c>
      <c r="G2440" s="47"/>
      <c r="H2440" s="47"/>
      <c r="I2440" s="40">
        <v>526</v>
      </c>
      <c r="J2440" s="40">
        <v>1057</v>
      </c>
      <c r="K2440" s="118"/>
      <c r="L2440" s="119"/>
      <c r="M2440" s="110">
        <f>IF(L2440="",I2440,(MIN(J2440,(L2440*1.6*J2440))))</f>
        <v>526</v>
      </c>
      <c r="N2440" s="111">
        <f>IF(M2440=0,0,(M2440/J2440))</f>
        <v>0.49763481551561023</v>
      </c>
    </row>
    <row r="2441" spans="2:14">
      <c r="B2441" s="73">
        <v>127754</v>
      </c>
      <c r="C2441" s="23" t="str">
        <f>"PALMBEACH"</f>
        <v>PALMBEACH</v>
      </c>
      <c r="D2441" s="123">
        <f>SUMIF(B$3:B$3844,B2441,M$3:M$3844)/(SUMIF(B$3:B$3844,B2441,J$3:J$3844))</f>
        <v>0.61922547211652934</v>
      </c>
      <c r="E2441" s="23">
        <v>16046929</v>
      </c>
      <c r="F2441" s="46" t="str">
        <f>"EMERALD COVE MIDDLE SCHOOL"</f>
        <v>EMERALD COVE MIDDLE SCHOOL</v>
      </c>
      <c r="G2441" s="23"/>
      <c r="H2441" s="23"/>
      <c r="I2441" s="41">
        <v>450</v>
      </c>
      <c r="J2441" s="41">
        <v>1204</v>
      </c>
      <c r="K2441" s="118"/>
      <c r="L2441" s="119"/>
      <c r="M2441" s="110">
        <f>IF(L2441="",I2441,(MIN(J2441,(L2441*1.6*J2441))))</f>
        <v>450</v>
      </c>
      <c r="N2441" s="111">
        <f>IF(M2441=0,0,(M2441/J2441))</f>
        <v>0.37375415282392027</v>
      </c>
    </row>
    <row r="2442" spans="2:14">
      <c r="B2442" s="72">
        <v>127754</v>
      </c>
      <c r="C2442" s="47" t="str">
        <f>"PALMBEACH"</f>
        <v>PALMBEACH</v>
      </c>
      <c r="D2442" s="123">
        <f>SUMIF(B$3:B$3844,B2442,M$3:M$3844)/(SUMIF(B$3:B$3844,B2442,J$3:J$3844))</f>
        <v>0.61922547211652934</v>
      </c>
      <c r="E2442" s="47">
        <v>14709893</v>
      </c>
      <c r="F2442" s="48" t="str">
        <f>"EQUESTRIAN TRAILS ELEMENTARY"</f>
        <v>EQUESTRIAN TRAILS ELEMENTARY</v>
      </c>
      <c r="G2442" s="47"/>
      <c r="H2442" s="47"/>
      <c r="I2442" s="40">
        <v>195</v>
      </c>
      <c r="J2442" s="40">
        <v>818</v>
      </c>
      <c r="K2442" s="118"/>
      <c r="L2442" s="119"/>
      <c r="M2442" s="110">
        <f>IF(L2442="",I2442,(MIN(J2442,(L2442*1.6*J2442))))</f>
        <v>195</v>
      </c>
      <c r="N2442" s="111">
        <f>IF(M2442=0,0,(M2442/J2442))</f>
        <v>0.23838630806845965</v>
      </c>
    </row>
    <row r="2443" spans="2:14">
      <c r="B2443" s="73">
        <v>127754</v>
      </c>
      <c r="C2443" s="23" t="str">
        <f>"PALMBEACH"</f>
        <v>PALMBEACH</v>
      </c>
      <c r="D2443" s="123">
        <f>SUMIF(B$3:B$3844,B2443,M$3:M$3844)/(SUMIF(B$3:B$3844,B2443,J$3:J$3844))</f>
        <v>0.61922547211652934</v>
      </c>
      <c r="E2443" s="23">
        <v>16055816</v>
      </c>
      <c r="F2443" s="46" t="str">
        <f>"EVERGLADES ELEMENTARY"</f>
        <v>EVERGLADES ELEMENTARY</v>
      </c>
      <c r="G2443" s="23"/>
      <c r="H2443" s="23"/>
      <c r="I2443" s="41">
        <v>414</v>
      </c>
      <c r="J2443" s="41">
        <v>934</v>
      </c>
      <c r="K2443" s="118"/>
      <c r="L2443" s="119"/>
      <c r="M2443" s="110">
        <f>IF(L2443="",I2443,(MIN(J2443,(L2443*1.6*J2443))))</f>
        <v>414</v>
      </c>
      <c r="N2443" s="111">
        <f>IF(M2443=0,0,(M2443/J2443))</f>
        <v>0.44325481798715205</v>
      </c>
    </row>
    <row r="2444" spans="2:14">
      <c r="B2444" s="72">
        <v>127754</v>
      </c>
      <c r="C2444" s="47" t="str">
        <f>"PALMBEACH"</f>
        <v>PALMBEACH</v>
      </c>
      <c r="D2444" s="123">
        <f>SUMIF(B$3:B$3844,B2444,M$3:M$3844)/(SUMIF(B$3:B$3844,B2444,J$3:J$3844))</f>
        <v>0.61922547211652934</v>
      </c>
      <c r="E2444" s="47">
        <v>37288</v>
      </c>
      <c r="F2444" s="48" t="s">
        <v>2210</v>
      </c>
      <c r="G2444" s="47"/>
      <c r="H2444" s="47"/>
      <c r="I2444" s="40">
        <v>1904</v>
      </c>
      <c r="J2444" s="40">
        <v>2308</v>
      </c>
      <c r="K2444" s="118"/>
      <c r="L2444" s="119"/>
      <c r="M2444" s="110">
        <f>IF(L2444="",I2444,(MIN(J2444,(L2444*1.6*J2444))))</f>
        <v>1904</v>
      </c>
      <c r="N2444" s="111">
        <f>IF(M2444=0,0,(M2444/J2444))</f>
        <v>0.82495667244367421</v>
      </c>
    </row>
    <row r="2445" spans="2:14">
      <c r="B2445" s="73">
        <v>127754</v>
      </c>
      <c r="C2445" s="23" t="str">
        <f>"PALMBEACH"</f>
        <v>PALMBEACH</v>
      </c>
      <c r="D2445" s="123">
        <f>SUMIF(B$3:B$3844,B2445,M$3:M$3844)/(SUMIF(B$3:B$3844,B2445,J$3:J$3844))</f>
        <v>0.61922547211652934</v>
      </c>
      <c r="E2445" s="23">
        <v>37348</v>
      </c>
      <c r="F2445" s="46" t="str">
        <f>"FOREST HILL ELEMENTARY SCHOOL"</f>
        <v>FOREST HILL ELEMENTARY SCHOOL</v>
      </c>
      <c r="G2445" s="23"/>
      <c r="H2445" s="23"/>
      <c r="I2445" s="41">
        <v>729</v>
      </c>
      <c r="J2445" s="41">
        <v>797</v>
      </c>
      <c r="K2445" s="118"/>
      <c r="L2445" s="119"/>
      <c r="M2445" s="110">
        <f>IF(L2445="",I2445,(MIN(J2445,(L2445*1.6*J2445))))</f>
        <v>729</v>
      </c>
      <c r="N2445" s="111">
        <f>IF(M2445=0,0,(M2445/J2445))</f>
        <v>0.91468005018820575</v>
      </c>
    </row>
    <row r="2446" spans="2:14">
      <c r="B2446" s="72">
        <v>127754</v>
      </c>
      <c r="C2446" s="47" t="str">
        <f>"PALMBEACH"</f>
        <v>PALMBEACH</v>
      </c>
      <c r="D2446" s="123">
        <f>SUMIF(B$3:B$3844,B2446,M$3:M$3844)/(SUMIF(B$3:B$3844,B2446,J$3:J$3844))</f>
        <v>0.61922547211652934</v>
      </c>
      <c r="E2446" s="47">
        <v>37396</v>
      </c>
      <c r="F2446" s="48" t="str">
        <f>"FOREST PARK ELEMENTARY SCHOOL"</f>
        <v>FOREST PARK ELEMENTARY SCHOOL</v>
      </c>
      <c r="G2446" s="47"/>
      <c r="H2446" s="47"/>
      <c r="I2446" s="40">
        <v>489</v>
      </c>
      <c r="J2446" s="40">
        <v>518</v>
      </c>
      <c r="K2446" s="118"/>
      <c r="L2446" s="119"/>
      <c r="M2446" s="110">
        <f>IF(L2446="",I2446,(MIN(J2446,(L2446*1.6*J2446))))</f>
        <v>489</v>
      </c>
      <c r="N2446" s="111">
        <f>IF(M2446=0,0,(M2446/J2446))</f>
        <v>0.94401544401544402</v>
      </c>
    </row>
    <row r="2447" spans="2:14">
      <c r="B2447" s="73">
        <v>127754</v>
      </c>
      <c r="C2447" s="23" t="str">
        <f>"PALMBEACH"</f>
        <v>PALMBEACH</v>
      </c>
      <c r="D2447" s="123">
        <f>SUMIF(B$3:B$3844,B2447,M$3:M$3844)/(SUMIF(B$3:B$3844,B2447,J$3:J$3844))</f>
        <v>0.61922547211652934</v>
      </c>
      <c r="E2447" s="23">
        <v>232858</v>
      </c>
      <c r="F2447" s="46" t="s">
        <v>2211</v>
      </c>
      <c r="G2447" s="23"/>
      <c r="H2447" s="23"/>
      <c r="I2447" s="41">
        <v>665</v>
      </c>
      <c r="J2447" s="41">
        <v>944</v>
      </c>
      <c r="K2447" s="118"/>
      <c r="L2447" s="119"/>
      <c r="M2447" s="110">
        <f>IF(L2447="",I2447,(MIN(J2447,(L2447*1.6*J2447))))</f>
        <v>665</v>
      </c>
      <c r="N2447" s="111">
        <f>IF(M2447=0,0,(M2447/J2447))</f>
        <v>0.70444915254237284</v>
      </c>
    </row>
    <row r="2448" spans="2:14">
      <c r="B2448" s="72">
        <v>127754</v>
      </c>
      <c r="C2448" s="47" t="str">
        <f>"PALMBEACH"</f>
        <v>PALMBEACH</v>
      </c>
      <c r="D2448" s="123">
        <f>SUMIF(B$3:B$3844,B2448,M$3:M$3844)/(SUMIF(B$3:B$3844,B2448,J$3:J$3844))</f>
        <v>0.61922547211652934</v>
      </c>
      <c r="E2448" s="47">
        <v>226934</v>
      </c>
      <c r="F2448" s="48" t="str">
        <f>"FRONTIER ELEMENTARY SCHOOL"</f>
        <v>FRONTIER ELEMENTARY SCHOOL</v>
      </c>
      <c r="G2448" s="47"/>
      <c r="H2448" s="47"/>
      <c r="I2448" s="40">
        <v>266</v>
      </c>
      <c r="J2448" s="40">
        <v>583</v>
      </c>
      <c r="K2448" s="118"/>
      <c r="L2448" s="119"/>
      <c r="M2448" s="110">
        <f>IF(L2448="",I2448,(MIN(J2448,(L2448*1.6*J2448))))</f>
        <v>266</v>
      </c>
      <c r="N2448" s="111">
        <f>IF(M2448=0,0,(M2448/J2448))</f>
        <v>0.45626072041166382</v>
      </c>
    </row>
    <row r="2449" spans="2:14" ht="30">
      <c r="B2449" s="73">
        <v>127754</v>
      </c>
      <c r="C2449" s="23" t="str">
        <f>"PALMBEACH"</f>
        <v>PALMBEACH</v>
      </c>
      <c r="D2449" s="123">
        <f>SUMIF(B$3:B$3844,B2449,M$3:M$3844)/(SUMIF(B$3:B$3844,B2449,J$3:J$3844))</f>
        <v>0.61922547211652934</v>
      </c>
      <c r="E2449" s="23">
        <v>16028823</v>
      </c>
      <c r="F2449" s="46" t="s">
        <v>2212</v>
      </c>
      <c r="G2449" s="23"/>
      <c r="H2449" s="23"/>
      <c r="I2449" s="41"/>
      <c r="J2449" s="41">
        <v>0</v>
      </c>
      <c r="K2449" s="118"/>
      <c r="L2449" s="119"/>
      <c r="M2449" s="110">
        <f>IF(L2449="",I2449,(MIN(J2449,(L2449*1.6*J2449))))</f>
        <v>0</v>
      </c>
      <c r="N2449" s="111">
        <f>IF(M2449=0,0,(M2449/J2449))</f>
        <v>0</v>
      </c>
    </row>
    <row r="2450" spans="2:14">
      <c r="B2450" s="72">
        <v>127754</v>
      </c>
      <c r="C2450" s="47" t="str">
        <f>"PALMBEACH"</f>
        <v>PALMBEACH</v>
      </c>
      <c r="D2450" s="123">
        <f>SUMIF(B$3:B$3844,B2450,M$3:M$3844)/(SUMIF(B$3:B$3844,B2450,J$3:J$3844))</f>
        <v>0.61922547211652934</v>
      </c>
      <c r="E2450" s="47">
        <v>37391</v>
      </c>
      <c r="F2450" s="48" t="str">
        <f>"GALAXY ELEMENTARY SCHOOL"</f>
        <v>GALAXY ELEMENTARY SCHOOL</v>
      </c>
      <c r="G2450" s="47"/>
      <c r="H2450" s="47"/>
      <c r="I2450" s="40">
        <v>603</v>
      </c>
      <c r="J2450" s="40">
        <v>656</v>
      </c>
      <c r="K2450" s="118"/>
      <c r="L2450" s="119"/>
      <c r="M2450" s="110">
        <f>IF(L2450="",I2450,(MIN(J2450,(L2450*1.6*J2450))))</f>
        <v>603</v>
      </c>
      <c r="N2450" s="111">
        <f>IF(M2450=0,0,(M2450/J2450))</f>
        <v>0.91920731707317072</v>
      </c>
    </row>
    <row r="2451" spans="2:14">
      <c r="B2451" s="73">
        <v>127754</v>
      </c>
      <c r="C2451" s="23" t="str">
        <f>"PALMBEACH"</f>
        <v>PALMBEACH</v>
      </c>
      <c r="D2451" s="123">
        <f>SUMIF(B$3:B$3844,B2451,M$3:M$3844)/(SUMIF(B$3:B$3844,B2451,J$3:J$3844))</f>
        <v>0.61922547211652934</v>
      </c>
      <c r="E2451" s="23">
        <v>16083911</v>
      </c>
      <c r="F2451" s="46" t="str">
        <f>"GLADE VIEW ELEMENTARY SCHOOL"</f>
        <v>GLADE VIEW ELEMENTARY SCHOOL</v>
      </c>
      <c r="G2451" s="23"/>
      <c r="H2451" s="23"/>
      <c r="I2451" s="41">
        <v>354</v>
      </c>
      <c r="J2451" s="41">
        <v>362</v>
      </c>
      <c r="K2451" s="118"/>
      <c r="L2451" s="119"/>
      <c r="M2451" s="110">
        <f>IF(L2451="",I2451,(MIN(J2451,(L2451*1.6*J2451))))</f>
        <v>354</v>
      </c>
      <c r="N2451" s="111">
        <f>IF(M2451=0,0,(M2451/J2451))</f>
        <v>0.97790055248618779</v>
      </c>
    </row>
    <row r="2452" spans="2:14">
      <c r="B2452" s="72">
        <v>127754</v>
      </c>
      <c r="C2452" s="47" t="str">
        <f>"PALMBEACH"</f>
        <v>PALMBEACH</v>
      </c>
      <c r="D2452" s="123">
        <f>SUMIF(B$3:B$3844,B2452,M$3:M$3844)/(SUMIF(B$3:B$3844,B2452,J$3:J$3844))</f>
        <v>0.61922547211652934</v>
      </c>
      <c r="E2452" s="47">
        <v>37369</v>
      </c>
      <c r="F2452" s="48" t="str">
        <f>"GLADES CENTRAL HIGH SCHOOL"</f>
        <v>GLADES CENTRAL HIGH SCHOOL</v>
      </c>
      <c r="G2452" s="47"/>
      <c r="H2452" s="47"/>
      <c r="I2452" s="40">
        <v>897</v>
      </c>
      <c r="J2452" s="40">
        <v>963</v>
      </c>
      <c r="K2452" s="118"/>
      <c r="L2452" s="119"/>
      <c r="M2452" s="110">
        <f>IF(L2452="",I2452,(MIN(J2452,(L2452*1.6*J2452))))</f>
        <v>897</v>
      </c>
      <c r="N2452" s="111">
        <f>IF(M2452=0,0,(M2452/J2452))</f>
        <v>0.93146417445482865</v>
      </c>
    </row>
    <row r="2453" spans="2:14">
      <c r="B2453" s="73">
        <v>127754</v>
      </c>
      <c r="C2453" s="23" t="str">
        <f>"PALMBEACH"</f>
        <v>PALMBEACH</v>
      </c>
      <c r="D2453" s="123">
        <f>SUMIF(B$3:B$3844,B2453,M$3:M$3844)/(SUMIF(B$3:B$3844,B2453,J$3:J$3844))</f>
        <v>0.61922547211652934</v>
      </c>
      <c r="E2453" s="23">
        <v>37309</v>
      </c>
      <c r="F2453" s="46" t="s">
        <v>2213</v>
      </c>
      <c r="G2453" s="23"/>
      <c r="H2453" s="23"/>
      <c r="I2453" s="41">
        <v>100</v>
      </c>
      <c r="J2453" s="41">
        <v>103</v>
      </c>
      <c r="K2453" s="118"/>
      <c r="L2453" s="119"/>
      <c r="M2453" s="110">
        <f>IF(L2453="",I2453,(MIN(J2453,(L2453*1.6*J2453))))</f>
        <v>100</v>
      </c>
      <c r="N2453" s="111">
        <f>IF(M2453=0,0,(M2453/J2453))</f>
        <v>0.970873786407767</v>
      </c>
    </row>
    <row r="2454" spans="2:14">
      <c r="B2454" s="72">
        <v>127754</v>
      </c>
      <c r="C2454" s="47" t="str">
        <f>"PALMBEACH"</f>
        <v>PALMBEACH</v>
      </c>
      <c r="D2454" s="123">
        <f>SUMIF(B$3:B$3844,B2454,M$3:M$3844)/(SUMIF(B$3:B$3844,B2454,J$3:J$3844))</f>
        <v>0.61922547211652934</v>
      </c>
      <c r="E2454" s="47">
        <v>37332</v>
      </c>
      <c r="F2454" s="48" t="str">
        <f>"GOLDEN GROVE ELEMENTARY SCHOOL"</f>
        <v>GOLDEN GROVE ELEMENTARY SCHOOL</v>
      </c>
      <c r="G2454" s="47"/>
      <c r="H2454" s="47"/>
      <c r="I2454" s="40">
        <v>314</v>
      </c>
      <c r="J2454" s="40">
        <v>544</v>
      </c>
      <c r="K2454" s="118"/>
      <c r="L2454" s="119"/>
      <c r="M2454" s="110">
        <f>IF(L2454="",I2454,(MIN(J2454,(L2454*1.6*J2454))))</f>
        <v>314</v>
      </c>
      <c r="N2454" s="111">
        <f>IF(M2454=0,0,(M2454/J2454))</f>
        <v>0.57720588235294112</v>
      </c>
    </row>
    <row r="2455" spans="2:14">
      <c r="B2455" s="73">
        <v>127754</v>
      </c>
      <c r="C2455" s="23" t="str">
        <f>"PALMBEACH"</f>
        <v>PALMBEACH</v>
      </c>
      <c r="D2455" s="123">
        <f>SUMIF(B$3:B$3844,B2455,M$3:M$3844)/(SUMIF(B$3:B$3844,B2455,J$3:J$3844))</f>
        <v>0.61922547211652934</v>
      </c>
      <c r="E2455" s="23">
        <v>37368</v>
      </c>
      <c r="F2455" s="46" t="str">
        <f>"GOVE ELEMENTARY SCHOOL"</f>
        <v>GOVE ELEMENTARY SCHOOL</v>
      </c>
      <c r="G2455" s="23"/>
      <c r="H2455" s="23"/>
      <c r="I2455" s="41">
        <v>766</v>
      </c>
      <c r="J2455" s="41">
        <v>800</v>
      </c>
      <c r="K2455" s="118"/>
      <c r="L2455" s="119"/>
      <c r="M2455" s="110">
        <f>IF(L2455="",I2455,(MIN(J2455,(L2455*1.6*J2455))))</f>
        <v>766</v>
      </c>
      <c r="N2455" s="111">
        <f>IF(M2455=0,0,(M2455/J2455))</f>
        <v>0.95750000000000002</v>
      </c>
    </row>
    <row r="2456" spans="2:14">
      <c r="B2456" s="72">
        <v>127754</v>
      </c>
      <c r="C2456" s="47" t="str">
        <f>"PALMBEACH"</f>
        <v>PALMBEACH</v>
      </c>
      <c r="D2456" s="123">
        <f>SUMIF(B$3:B$3844,B2456,M$3:M$3844)/(SUMIF(B$3:B$3844,B2456,J$3:J$3844))</f>
        <v>0.61922547211652934</v>
      </c>
      <c r="E2456" s="47">
        <v>16025584</v>
      </c>
      <c r="F2456" s="48" t="s">
        <v>2214</v>
      </c>
      <c r="G2456" s="47"/>
      <c r="H2456" s="47"/>
      <c r="I2456" s="40">
        <v>532</v>
      </c>
      <c r="J2456" s="40">
        <v>724</v>
      </c>
      <c r="K2456" s="118"/>
      <c r="L2456" s="119"/>
      <c r="M2456" s="110">
        <f>IF(L2456="",I2456,(MIN(J2456,(L2456*1.6*J2456))))</f>
        <v>532</v>
      </c>
      <c r="N2456" s="111">
        <f>IF(M2456=0,0,(M2456/J2456))</f>
        <v>0.73480662983425415</v>
      </c>
    </row>
    <row r="2457" spans="2:14">
      <c r="B2457" s="73">
        <v>127754</v>
      </c>
      <c r="C2457" s="23" t="str">
        <f>"PALMBEACH"</f>
        <v>PALMBEACH</v>
      </c>
      <c r="D2457" s="123">
        <f>SUMIF(B$3:B$3844,B2457,M$3:M$3844)/(SUMIF(B$3:B$3844,B2457,J$3:J$3844))</f>
        <v>0.61922547211652934</v>
      </c>
      <c r="E2457" s="23">
        <v>37475</v>
      </c>
      <c r="F2457" s="46" t="str">
        <f>"GREENACRES ELEMENTARY SCHOOL"</f>
        <v>GREENACRES ELEMENTARY SCHOOL</v>
      </c>
      <c r="G2457" s="23"/>
      <c r="H2457" s="23"/>
      <c r="I2457" s="41">
        <v>692</v>
      </c>
      <c r="J2457" s="41">
        <v>726</v>
      </c>
      <c r="K2457" s="118"/>
      <c r="L2457" s="119"/>
      <c r="M2457" s="110">
        <f>IF(L2457="",I2457,(MIN(J2457,(L2457*1.6*J2457))))</f>
        <v>692</v>
      </c>
      <c r="N2457" s="111">
        <f>IF(M2457=0,0,(M2457/J2457))</f>
        <v>0.95316804407713496</v>
      </c>
    </row>
    <row r="2458" spans="2:14">
      <c r="B2458" s="72">
        <v>127754</v>
      </c>
      <c r="C2458" s="47" t="str">
        <f>"PALMBEACH"</f>
        <v>PALMBEACH</v>
      </c>
      <c r="D2458" s="123">
        <f>SUMIF(B$3:B$3844,B2458,M$3:M$3844)/(SUMIF(B$3:B$3844,B2458,J$3:J$3844))</f>
        <v>0.61922547211652934</v>
      </c>
      <c r="E2458" s="47">
        <v>37324</v>
      </c>
      <c r="F2458" s="48" t="str">
        <f>"GROVE PARK ELEMENTARY SCHOOL"</f>
        <v>GROVE PARK ELEMENTARY SCHOOL</v>
      </c>
      <c r="G2458" s="47"/>
      <c r="H2458" s="47"/>
      <c r="I2458" s="40">
        <v>616</v>
      </c>
      <c r="J2458" s="40">
        <v>661</v>
      </c>
      <c r="K2458" s="118"/>
      <c r="L2458" s="119"/>
      <c r="M2458" s="110">
        <f>IF(L2458="",I2458,(MIN(J2458,(L2458*1.6*J2458))))</f>
        <v>616</v>
      </c>
      <c r="N2458" s="111">
        <f>IF(M2458=0,0,(M2458/J2458))</f>
        <v>0.9319213313161876</v>
      </c>
    </row>
    <row r="2459" spans="2:14">
      <c r="B2459" s="73">
        <v>127754</v>
      </c>
      <c r="C2459" s="23" t="str">
        <f>"PALMBEACH"</f>
        <v>PALMBEACH</v>
      </c>
      <c r="D2459" s="123">
        <f>SUMIF(B$3:B$3844,B2459,M$3:M$3844)/(SUMIF(B$3:B$3844,B2459,J$3:J$3844))</f>
        <v>0.61922547211652934</v>
      </c>
      <c r="E2459" s="23">
        <v>37331</v>
      </c>
      <c r="F2459" s="46" t="s">
        <v>2215</v>
      </c>
      <c r="G2459" s="23"/>
      <c r="H2459" s="23"/>
      <c r="I2459" s="41">
        <v>371</v>
      </c>
      <c r="J2459" s="41">
        <v>783</v>
      </c>
      <c r="K2459" s="118"/>
      <c r="L2459" s="119"/>
      <c r="M2459" s="110">
        <f>IF(L2459="",I2459,(MIN(J2459,(L2459*1.6*J2459))))</f>
        <v>371</v>
      </c>
      <c r="N2459" s="111">
        <f>IF(M2459=0,0,(M2459/J2459))</f>
        <v>0.47381864623243936</v>
      </c>
    </row>
    <row r="2460" spans="2:14">
      <c r="B2460" s="72">
        <v>127754</v>
      </c>
      <c r="C2460" s="47" t="str">
        <f>"PALMBEACH"</f>
        <v>PALMBEACH</v>
      </c>
      <c r="D2460" s="123">
        <f>SUMIF(B$3:B$3844,B2460,M$3:M$3844)/(SUMIF(B$3:B$3844,B2460,J$3:J$3844))</f>
        <v>0.61922547211652934</v>
      </c>
      <c r="E2460" s="47">
        <v>37403</v>
      </c>
      <c r="F2460" s="48" t="str">
        <f>"HAGEN ROAD ELEMENTARY SCHOOL"</f>
        <v>HAGEN ROAD ELEMENTARY SCHOOL</v>
      </c>
      <c r="G2460" s="47"/>
      <c r="H2460" s="47"/>
      <c r="I2460" s="40">
        <v>401</v>
      </c>
      <c r="J2460" s="40">
        <v>715</v>
      </c>
      <c r="K2460" s="118"/>
      <c r="L2460" s="119"/>
      <c r="M2460" s="110">
        <f>IF(L2460="",I2460,(MIN(J2460,(L2460*1.6*J2460))))</f>
        <v>401</v>
      </c>
      <c r="N2460" s="111">
        <f>IF(M2460=0,0,(M2460/J2460))</f>
        <v>0.56083916083916086</v>
      </c>
    </row>
    <row r="2461" spans="2:14">
      <c r="B2461" s="73">
        <v>127754</v>
      </c>
      <c r="C2461" s="23" t="str">
        <f>"PALMBEACH"</f>
        <v>PALMBEACH</v>
      </c>
      <c r="D2461" s="123">
        <f>SUMIF(B$3:B$3844,B2461,M$3:M$3844)/(SUMIF(B$3:B$3844,B2461,J$3:J$3844))</f>
        <v>0.61922547211652934</v>
      </c>
      <c r="E2461" s="23">
        <v>37386</v>
      </c>
      <c r="F2461" s="46" t="s">
        <v>2216</v>
      </c>
      <c r="G2461" s="23"/>
      <c r="H2461" s="23"/>
      <c r="I2461" s="41">
        <v>606</v>
      </c>
      <c r="J2461" s="41">
        <v>908</v>
      </c>
      <c r="K2461" s="118"/>
      <c r="L2461" s="119"/>
      <c r="M2461" s="110">
        <f>IF(L2461="",I2461,(MIN(J2461,(L2461*1.6*J2461))))</f>
        <v>606</v>
      </c>
      <c r="N2461" s="111">
        <f>IF(M2461=0,0,(M2461/J2461))</f>
        <v>0.66740088105726869</v>
      </c>
    </row>
    <row r="2462" spans="2:14">
      <c r="B2462" s="72">
        <v>127754</v>
      </c>
      <c r="C2462" s="47" t="str">
        <f>"PALMBEACH"</f>
        <v>PALMBEACH</v>
      </c>
      <c r="D2462" s="123">
        <f>SUMIF(B$3:B$3844,B2462,M$3:M$3844)/(SUMIF(B$3:B$3844,B2462,J$3:J$3844))</f>
        <v>0.61922547211652934</v>
      </c>
      <c r="E2462" s="47">
        <v>220930</v>
      </c>
      <c r="F2462" s="48" t="str">
        <f>"HERITAGE ELEMENTARY SCHOOL"</f>
        <v>HERITAGE ELEMENTARY SCHOOL</v>
      </c>
      <c r="G2462" s="47"/>
      <c r="H2462" s="47"/>
      <c r="I2462" s="40">
        <v>819</v>
      </c>
      <c r="J2462" s="40">
        <v>892</v>
      </c>
      <c r="K2462" s="118"/>
      <c r="L2462" s="119"/>
      <c r="M2462" s="110">
        <f>IF(L2462="",I2462,(MIN(J2462,(L2462*1.6*J2462))))</f>
        <v>819</v>
      </c>
      <c r="N2462" s="111">
        <f>IF(M2462=0,0,(M2462/J2462))</f>
        <v>0.91816143497757852</v>
      </c>
    </row>
    <row r="2463" spans="2:14">
      <c r="B2463" s="73">
        <v>127754</v>
      </c>
      <c r="C2463" s="23" t="str">
        <f>"PALMBEACH"</f>
        <v>PALMBEACH</v>
      </c>
      <c r="D2463" s="123">
        <f>SUMIF(B$3:B$3844,B2463,M$3:M$3844)/(SUMIF(B$3:B$3844,B2463,J$3:J$3844))</f>
        <v>0.61922547211652934</v>
      </c>
      <c r="E2463" s="23">
        <v>16026758</v>
      </c>
      <c r="F2463" s="46" t="str">
        <f>"HIDDEN OAKS ELEMENTARY SCHOOL"</f>
        <v>HIDDEN OAKS ELEMENTARY SCHOOL</v>
      </c>
      <c r="G2463" s="23"/>
      <c r="H2463" s="23"/>
      <c r="I2463" s="41">
        <v>473</v>
      </c>
      <c r="J2463" s="41">
        <v>739</v>
      </c>
      <c r="K2463" s="118"/>
      <c r="L2463" s="119"/>
      <c r="M2463" s="110">
        <f>IF(L2463="",I2463,(MIN(J2463,(L2463*1.6*J2463))))</f>
        <v>473</v>
      </c>
      <c r="N2463" s="111">
        <f>IF(M2463=0,0,(M2463/J2463))</f>
        <v>0.64005412719891741</v>
      </c>
    </row>
    <row r="2464" spans="2:14">
      <c r="B2464" s="72">
        <v>127754</v>
      </c>
      <c r="C2464" s="47" t="str">
        <f>"PALMBEACH"</f>
        <v>PALMBEACH</v>
      </c>
      <c r="D2464" s="123">
        <f>SUMIF(B$3:B$3844,B2464,M$3:M$3844)/(SUMIF(B$3:B$3844,B2464,J$3:J$3844))</f>
        <v>0.61922547211652934</v>
      </c>
      <c r="E2464" s="47">
        <v>37453</v>
      </c>
      <c r="F2464" s="48" t="str">
        <f>"HIGHLAND ELEMENTARY SCHOOL"</f>
        <v>HIGHLAND ELEMENTARY SCHOOL</v>
      </c>
      <c r="G2464" s="47"/>
      <c r="H2464" s="47"/>
      <c r="I2464" s="40">
        <v>1059</v>
      </c>
      <c r="J2464" s="40">
        <v>1086</v>
      </c>
      <c r="K2464" s="118"/>
      <c r="L2464" s="119"/>
      <c r="M2464" s="110">
        <f>IF(L2464="",I2464,(MIN(J2464,(L2464*1.6*J2464))))</f>
        <v>1059</v>
      </c>
      <c r="N2464" s="111">
        <f>IF(M2464=0,0,(M2464/J2464))</f>
        <v>0.97513812154696133</v>
      </c>
    </row>
    <row r="2465" spans="2:14">
      <c r="B2465" s="73">
        <v>127754</v>
      </c>
      <c r="C2465" s="23" t="str">
        <f>"PALMBEACH"</f>
        <v>PALMBEACH</v>
      </c>
      <c r="D2465" s="123">
        <f>SUMIF(B$3:B$3844,B2465,M$3:M$3844)/(SUMIF(B$3:B$3844,B2465,J$3:J$3844))</f>
        <v>0.61922547211652934</v>
      </c>
      <c r="E2465" s="23">
        <v>205994</v>
      </c>
      <c r="F2465" s="46" t="str">
        <f>"HIGHRIDGE FAMILY CENTER"</f>
        <v>HIGHRIDGE FAMILY CENTER</v>
      </c>
      <c r="G2465" s="23"/>
      <c r="H2465" s="23"/>
      <c r="I2465" s="41">
        <v>8</v>
      </c>
      <c r="J2465" s="41">
        <v>37</v>
      </c>
      <c r="K2465" s="118"/>
      <c r="L2465" s="119"/>
      <c r="M2465" s="110">
        <f>IF(L2465="",I2465,(MIN(J2465,(L2465*1.6*J2465))))</f>
        <v>8</v>
      </c>
      <c r="N2465" s="111">
        <f>IF(M2465=0,0,(M2465/J2465))</f>
        <v>0.21621621621621623</v>
      </c>
    </row>
    <row r="2466" spans="2:14">
      <c r="B2466" s="72">
        <v>127754</v>
      </c>
      <c r="C2466" s="47" t="str">
        <f>"PALMBEACH"</f>
        <v>PALMBEACH</v>
      </c>
      <c r="D2466" s="123">
        <f>SUMIF(B$3:B$3844,B2466,M$3:M$3844)/(SUMIF(B$3:B$3844,B2466,J$3:J$3844))</f>
        <v>0.61922547211652934</v>
      </c>
      <c r="E2466" s="47">
        <v>16049391</v>
      </c>
      <c r="F2466" s="48" t="s">
        <v>2217</v>
      </c>
      <c r="G2466" s="47"/>
      <c r="H2466" s="47"/>
      <c r="I2466" s="40">
        <v>650</v>
      </c>
      <c r="J2466" s="40">
        <v>670</v>
      </c>
      <c r="K2466" s="118"/>
      <c r="L2466" s="119"/>
      <c r="M2466" s="110">
        <f>IF(L2466="",I2466,(MIN(J2466,(L2466*1.6*J2466))))</f>
        <v>650</v>
      </c>
      <c r="N2466" s="111">
        <f>IF(M2466=0,0,(M2466/J2466))</f>
        <v>0.97014925373134331</v>
      </c>
    </row>
    <row r="2467" spans="2:14">
      <c r="B2467" s="73">
        <v>127754</v>
      </c>
      <c r="C2467" s="23" t="str">
        <f>"PALMBEACH"</f>
        <v>PALMBEACH</v>
      </c>
      <c r="D2467" s="123">
        <f>SUMIF(B$3:B$3844,B2467,M$3:M$3844)/(SUMIF(B$3:B$3844,B2467,J$3:J$3844))</f>
        <v>0.61922547211652934</v>
      </c>
      <c r="E2467" s="23">
        <v>37265</v>
      </c>
      <c r="F2467" s="46" t="s">
        <v>2218</v>
      </c>
      <c r="G2467" s="23"/>
      <c r="H2467" s="23"/>
      <c r="I2467" s="41">
        <v>817</v>
      </c>
      <c r="J2467" s="41">
        <v>926</v>
      </c>
      <c r="K2467" s="118"/>
      <c r="L2467" s="119"/>
      <c r="M2467" s="110">
        <f>IF(L2467="",I2467,(MIN(J2467,(L2467*1.6*J2467))))</f>
        <v>817</v>
      </c>
      <c r="N2467" s="111">
        <f>IF(M2467=0,0,(M2467/J2467))</f>
        <v>0.8822894168466523</v>
      </c>
    </row>
    <row r="2468" spans="2:14">
      <c r="B2468" s="72">
        <v>127754</v>
      </c>
      <c r="C2468" s="47" t="str">
        <f>"PALMBEACH"</f>
        <v>PALMBEACH</v>
      </c>
      <c r="D2468" s="123">
        <f>SUMIF(B$3:B$3844,B2468,M$3:M$3844)/(SUMIF(B$3:B$3844,B2468,J$3:J$3844))</f>
        <v>0.61922547211652934</v>
      </c>
      <c r="E2468" s="47">
        <v>232861</v>
      </c>
      <c r="F2468" s="48" t="str">
        <f>"INDEPENDENCE MIDDLE SCHOOL"</f>
        <v>INDEPENDENCE MIDDLE SCHOOL</v>
      </c>
      <c r="G2468" s="47"/>
      <c r="H2468" s="47"/>
      <c r="I2468" s="40">
        <v>376</v>
      </c>
      <c r="J2468" s="40">
        <v>1349</v>
      </c>
      <c r="K2468" s="118"/>
      <c r="L2468" s="119"/>
      <c r="M2468" s="110">
        <f>IF(L2468="",I2468,(MIN(J2468,(L2468*1.6*J2468))))</f>
        <v>376</v>
      </c>
      <c r="N2468" s="111">
        <f>IF(M2468=0,0,(M2468/J2468))</f>
        <v>0.27872498146775387</v>
      </c>
    </row>
    <row r="2469" spans="2:14">
      <c r="B2469" s="73">
        <v>127754</v>
      </c>
      <c r="C2469" s="23" t="str">
        <f>"PALMBEACH"</f>
        <v>PALMBEACH</v>
      </c>
      <c r="D2469" s="123">
        <f>SUMIF(B$3:B$3844,B2469,M$3:M$3844)/(SUMIF(B$3:B$3844,B2469,J$3:J$3844))</f>
        <v>0.61922547211652934</v>
      </c>
      <c r="E2469" s="23">
        <v>37479</v>
      </c>
      <c r="F2469" s="46" t="str">
        <f>"INDIAN PINES ELEMENTARY SCHOOL"</f>
        <v>INDIAN PINES ELEMENTARY SCHOOL</v>
      </c>
      <c r="G2469" s="23"/>
      <c r="H2469" s="23"/>
      <c r="I2469" s="41">
        <v>647</v>
      </c>
      <c r="J2469" s="41">
        <v>669</v>
      </c>
      <c r="K2469" s="118"/>
      <c r="L2469" s="119"/>
      <c r="M2469" s="110">
        <f>IF(L2469="",I2469,(MIN(J2469,(L2469*1.6*J2469))))</f>
        <v>647</v>
      </c>
      <c r="N2469" s="111">
        <f>IF(M2469=0,0,(M2469/J2469))</f>
        <v>0.96711509715994026</v>
      </c>
    </row>
    <row r="2470" spans="2:14">
      <c r="B2470" s="72">
        <v>127754</v>
      </c>
      <c r="C2470" s="47" t="str">
        <f>"PALMBEACH"</f>
        <v>PALMBEACH</v>
      </c>
      <c r="D2470" s="123">
        <f>SUMIF(B$3:B$3844,B2470,M$3:M$3844)/(SUMIF(B$3:B$3844,B2470,J$3:J$3844))</f>
        <v>0.61922547211652934</v>
      </c>
      <c r="E2470" s="47">
        <v>37330</v>
      </c>
      <c r="F2470" s="48" t="str">
        <f>"INDIAN RIDGE SCHOOL"</f>
        <v>INDIAN RIDGE SCHOOL</v>
      </c>
      <c r="G2470" s="47"/>
      <c r="H2470" s="47"/>
      <c r="I2470" s="40">
        <v>96</v>
      </c>
      <c r="J2470" s="40">
        <v>112</v>
      </c>
      <c r="K2470" s="118"/>
      <c r="L2470" s="119"/>
      <c r="M2470" s="110">
        <f>IF(L2470="",I2470,(MIN(J2470,(L2470*1.6*J2470))))</f>
        <v>96</v>
      </c>
      <c r="N2470" s="111">
        <f>IF(M2470=0,0,(M2470/J2470))</f>
        <v>0.8571428571428571</v>
      </c>
    </row>
    <row r="2471" spans="2:14">
      <c r="B2471" s="73">
        <v>127754</v>
      </c>
      <c r="C2471" s="23" t="str">
        <f>"PALMBEACH"</f>
        <v>PALMBEACH</v>
      </c>
      <c r="D2471" s="123">
        <f>SUMIF(B$3:B$3844,B2471,M$3:M$3844)/(SUMIF(B$3:B$3844,B2471,J$3:J$3844))</f>
        <v>0.61922547211652934</v>
      </c>
      <c r="E2471" s="23">
        <v>37277</v>
      </c>
      <c r="F2471" s="46" t="s">
        <v>2219</v>
      </c>
      <c r="G2471" s="23"/>
      <c r="H2471" s="23"/>
      <c r="I2471" s="41">
        <v>582</v>
      </c>
      <c r="J2471" s="41">
        <v>697</v>
      </c>
      <c r="K2471" s="118"/>
      <c r="L2471" s="119"/>
      <c r="M2471" s="110">
        <f>IF(L2471="",I2471,(MIN(J2471,(L2471*1.6*J2471))))</f>
        <v>582</v>
      </c>
      <c r="N2471" s="111">
        <f>IF(M2471=0,0,(M2471/J2471))</f>
        <v>0.83500717360114773</v>
      </c>
    </row>
    <row r="2472" spans="2:14">
      <c r="B2472" s="72">
        <v>127754</v>
      </c>
      <c r="C2472" s="47" t="str">
        <f>"PALMBEACH"</f>
        <v>PALMBEACH</v>
      </c>
      <c r="D2472" s="123">
        <f>SUMIF(B$3:B$3844,B2472,M$3:M$3844)/(SUMIF(B$3:B$3844,B2472,J$3:J$3844))</f>
        <v>0.61922547211652934</v>
      </c>
      <c r="E2472" s="47">
        <v>37375</v>
      </c>
      <c r="F2472" s="48" t="s">
        <v>2220</v>
      </c>
      <c r="G2472" s="47"/>
      <c r="H2472" s="47"/>
      <c r="I2472" s="40">
        <v>504</v>
      </c>
      <c r="J2472" s="40">
        <v>799</v>
      </c>
      <c r="K2472" s="118"/>
      <c r="L2472" s="119"/>
      <c r="M2472" s="110">
        <f>IF(L2472="",I2472,(MIN(J2472,(L2472*1.6*J2472))))</f>
        <v>504</v>
      </c>
      <c r="N2472" s="111">
        <f>IF(M2472=0,0,(M2472/J2472))</f>
        <v>0.63078848560700873</v>
      </c>
    </row>
    <row r="2473" spans="2:14">
      <c r="B2473" s="73">
        <v>127754</v>
      </c>
      <c r="C2473" s="23" t="str">
        <f>"PALMBEACH"</f>
        <v>PALMBEACH</v>
      </c>
      <c r="D2473" s="123">
        <f>SUMIF(B$3:B$3844,B2473,M$3:M$3844)/(SUMIF(B$3:B$3844,B2473,J$3:J$3844))</f>
        <v>0.61922547211652934</v>
      </c>
      <c r="E2473" s="23">
        <v>14713313</v>
      </c>
      <c r="F2473" s="46" t="str">
        <f>"JEAGA MIDDLE SCHOOL"</f>
        <v>JEAGA MIDDLE SCHOOL</v>
      </c>
      <c r="G2473" s="23"/>
      <c r="H2473" s="23"/>
      <c r="I2473" s="41">
        <v>943</v>
      </c>
      <c r="J2473" s="41">
        <v>1039</v>
      </c>
      <c r="K2473" s="118"/>
      <c r="L2473" s="119"/>
      <c r="M2473" s="110">
        <f>IF(L2473="",I2473,(MIN(J2473,(L2473*1.6*J2473))))</f>
        <v>943</v>
      </c>
      <c r="N2473" s="111">
        <f>IF(M2473=0,0,(M2473/J2473))</f>
        <v>0.90760346487006738</v>
      </c>
    </row>
    <row r="2474" spans="2:14">
      <c r="B2474" s="72">
        <v>127754</v>
      </c>
      <c r="C2474" s="47" t="str">
        <f>"PALMBEACH"</f>
        <v>PALMBEACH</v>
      </c>
      <c r="D2474" s="123">
        <f>SUMIF(B$3:B$3844,B2474,M$3:M$3844)/(SUMIF(B$3:B$3844,B2474,J$3:J$3844))</f>
        <v>0.61922547211652934</v>
      </c>
      <c r="E2474" s="47">
        <v>37444</v>
      </c>
      <c r="F2474" s="48" t="str">
        <f>"JERRY THOMAS ELEMENTARY SCHOOL"</f>
        <v>JERRY THOMAS ELEMENTARY SCHOOL</v>
      </c>
      <c r="G2474" s="47"/>
      <c r="H2474" s="47"/>
      <c r="I2474" s="40">
        <v>430</v>
      </c>
      <c r="J2474" s="40">
        <v>825</v>
      </c>
      <c r="K2474" s="118"/>
      <c r="L2474" s="119"/>
      <c r="M2474" s="110">
        <f>IF(L2474="",I2474,(MIN(J2474,(L2474*1.6*J2474))))</f>
        <v>430</v>
      </c>
      <c r="N2474" s="111">
        <f>IF(M2474=0,0,(M2474/J2474))</f>
        <v>0.52121212121212124</v>
      </c>
    </row>
    <row r="2475" spans="2:14">
      <c r="B2475" s="73">
        <v>127754</v>
      </c>
      <c r="C2475" s="23" t="str">
        <f>"PALMBEACH"</f>
        <v>PALMBEACH</v>
      </c>
      <c r="D2475" s="123">
        <f>SUMIF(B$3:B$3844,B2475,M$3:M$3844)/(SUMIF(B$3:B$3844,B2475,J$3:J$3844))</f>
        <v>0.61922547211652934</v>
      </c>
      <c r="E2475" s="23">
        <v>37278</v>
      </c>
      <c r="F2475" s="46" t="str">
        <f>"JOHN F. KENNEDY MIDDLE SCHOOL"</f>
        <v>JOHN F. KENNEDY MIDDLE SCHOOL</v>
      </c>
      <c r="G2475" s="23"/>
      <c r="H2475" s="23"/>
      <c r="I2475" s="41">
        <v>689</v>
      </c>
      <c r="J2475" s="41">
        <v>716</v>
      </c>
      <c r="K2475" s="118"/>
      <c r="L2475" s="119"/>
      <c r="M2475" s="110">
        <f>IF(L2475="",I2475,(MIN(J2475,(L2475*1.6*J2475))))</f>
        <v>689</v>
      </c>
      <c r="N2475" s="111">
        <f>IF(M2475=0,0,(M2475/J2475))</f>
        <v>0.96229050279329609</v>
      </c>
    </row>
    <row r="2476" spans="2:14">
      <c r="B2476" s="72">
        <v>127754</v>
      </c>
      <c r="C2476" s="47" t="str">
        <f>"PALMBEACH"</f>
        <v>PALMBEACH</v>
      </c>
      <c r="D2476" s="123">
        <f>SUMIF(B$3:B$3844,B2476,M$3:M$3844)/(SUMIF(B$3:B$3844,B2476,J$3:J$3844))</f>
        <v>0.61922547211652934</v>
      </c>
      <c r="E2476" s="47">
        <v>37477</v>
      </c>
      <c r="F2476" s="48" t="str">
        <f>"JOHN I. LEONARD HIGH SCHOOL"</f>
        <v>JOHN I. LEONARD HIGH SCHOOL</v>
      </c>
      <c r="G2476" s="47"/>
      <c r="H2476" s="47"/>
      <c r="I2476" s="40">
        <v>2758</v>
      </c>
      <c r="J2476" s="40">
        <v>3416</v>
      </c>
      <c r="K2476" s="118"/>
      <c r="L2476" s="119"/>
      <c r="M2476" s="110">
        <f>IF(L2476="",I2476,(MIN(J2476,(L2476*1.6*J2476))))</f>
        <v>2758</v>
      </c>
      <c r="N2476" s="111">
        <f>IF(M2476=0,0,(M2476/J2476))</f>
        <v>0.80737704918032782</v>
      </c>
    </row>
    <row r="2477" spans="2:14">
      <c r="B2477" s="73">
        <v>127754</v>
      </c>
      <c r="C2477" s="23" t="str">
        <f>"PALMBEACH"</f>
        <v>PALMBEACH</v>
      </c>
      <c r="D2477" s="123">
        <f>SUMIF(B$3:B$3844,B2477,M$3:M$3844)/(SUMIF(B$3:B$3844,B2477,J$3:J$3844))</f>
        <v>0.61922547211652934</v>
      </c>
      <c r="E2477" s="23">
        <v>37448</v>
      </c>
      <c r="F2477" s="46" t="str">
        <f>"JUPITER ELEMENTARY SCHOOL"</f>
        <v>JUPITER ELEMENTARY SCHOOL</v>
      </c>
      <c r="G2477" s="23"/>
      <c r="H2477" s="23"/>
      <c r="I2477" s="41">
        <v>728</v>
      </c>
      <c r="J2477" s="41">
        <v>898</v>
      </c>
      <c r="K2477" s="118"/>
      <c r="L2477" s="119"/>
      <c r="M2477" s="110">
        <f>IF(L2477="",I2477,(MIN(J2477,(L2477*1.6*J2477))))</f>
        <v>728</v>
      </c>
      <c r="N2477" s="111">
        <f>IF(M2477=0,0,(M2477/J2477))</f>
        <v>0.81069042316258355</v>
      </c>
    </row>
    <row r="2478" spans="2:14">
      <c r="B2478" s="72">
        <v>127754</v>
      </c>
      <c r="C2478" s="47" t="str">
        <f>"PALMBEACH"</f>
        <v>PALMBEACH</v>
      </c>
      <c r="D2478" s="123">
        <f>SUMIF(B$3:B$3844,B2478,M$3:M$3844)/(SUMIF(B$3:B$3844,B2478,J$3:J$3844))</f>
        <v>0.61922547211652934</v>
      </c>
      <c r="E2478" s="47">
        <v>37498</v>
      </c>
      <c r="F2478" s="48" t="s">
        <v>2221</v>
      </c>
      <c r="G2478" s="47"/>
      <c r="H2478" s="47"/>
      <c r="I2478" s="40">
        <v>161</v>
      </c>
      <c r="J2478" s="40">
        <v>542</v>
      </c>
      <c r="K2478" s="118"/>
      <c r="L2478" s="119"/>
      <c r="M2478" s="110">
        <f>IF(L2478="",I2478,(MIN(J2478,(L2478*1.6*J2478))))</f>
        <v>161</v>
      </c>
      <c r="N2478" s="111">
        <f>IF(M2478=0,0,(M2478/J2478))</f>
        <v>0.29704797047970477</v>
      </c>
    </row>
    <row r="2479" spans="2:14">
      <c r="B2479" s="73">
        <v>127754</v>
      </c>
      <c r="C2479" s="23" t="str">
        <f>"PALMBEACH"</f>
        <v>PALMBEACH</v>
      </c>
      <c r="D2479" s="123">
        <f>SUMIF(B$3:B$3844,B2479,M$3:M$3844)/(SUMIF(B$3:B$3844,B2479,J$3:J$3844))</f>
        <v>0.61922547211652934</v>
      </c>
      <c r="E2479" s="23">
        <v>37447</v>
      </c>
      <c r="F2479" s="46" t="str">
        <f>"JUPITER HIGH SCHOOL"</f>
        <v>JUPITER HIGH SCHOOL</v>
      </c>
      <c r="G2479" s="23"/>
      <c r="H2479" s="23"/>
      <c r="I2479" s="41">
        <v>873</v>
      </c>
      <c r="J2479" s="41">
        <v>2867</v>
      </c>
      <c r="K2479" s="118"/>
      <c r="L2479" s="119"/>
      <c r="M2479" s="110">
        <f>IF(L2479="",I2479,(MIN(J2479,(L2479*1.6*J2479))))</f>
        <v>873</v>
      </c>
      <c r="N2479" s="111">
        <f>IF(M2479=0,0,(M2479/J2479))</f>
        <v>0.30449947680502265</v>
      </c>
    </row>
    <row r="2480" spans="2:14">
      <c r="B2480" s="72">
        <v>127754</v>
      </c>
      <c r="C2480" s="47" t="str">
        <f>"PALMBEACH"</f>
        <v>PALMBEACH</v>
      </c>
      <c r="D2480" s="123">
        <f>SUMIF(B$3:B$3844,B2480,M$3:M$3844)/(SUMIF(B$3:B$3844,B2480,J$3:J$3844))</f>
        <v>0.61922547211652934</v>
      </c>
      <c r="E2480" s="47">
        <v>37449</v>
      </c>
      <c r="F2480" s="48" t="str">
        <f>"JUPITER MIDDLE SCHOOL"</f>
        <v>JUPITER MIDDLE SCHOOL</v>
      </c>
      <c r="G2480" s="47"/>
      <c r="H2480" s="47"/>
      <c r="I2480" s="40">
        <v>534</v>
      </c>
      <c r="J2480" s="40">
        <v>1231</v>
      </c>
      <c r="K2480" s="118"/>
      <c r="L2480" s="119"/>
      <c r="M2480" s="110">
        <f>IF(L2480="",I2480,(MIN(J2480,(L2480*1.6*J2480))))</f>
        <v>534</v>
      </c>
      <c r="N2480" s="111">
        <f>IF(M2480=0,0,(M2480/J2480))</f>
        <v>0.4337936636880585</v>
      </c>
    </row>
    <row r="2481" spans="2:14">
      <c r="B2481" s="73">
        <v>127754</v>
      </c>
      <c r="C2481" s="23" t="str">
        <f>"PALMBEACH"</f>
        <v>PALMBEACH</v>
      </c>
      <c r="D2481" s="123">
        <f>SUMIF(B$3:B$3844,B2481,M$3:M$3844)/(SUMIF(B$3:B$3844,B2481,J$3:J$3844))</f>
        <v>0.61922547211652934</v>
      </c>
      <c r="E2481" s="23">
        <v>37405</v>
      </c>
      <c r="F2481" s="46" t="s">
        <v>2222</v>
      </c>
      <c r="G2481" s="23"/>
      <c r="H2481" s="23"/>
      <c r="I2481" s="41">
        <v>326</v>
      </c>
      <c r="J2481" s="41">
        <v>328</v>
      </c>
      <c r="K2481" s="118"/>
      <c r="L2481" s="119"/>
      <c r="M2481" s="110">
        <f>IF(L2481="",I2481,(MIN(J2481,(L2481*1.6*J2481))))</f>
        <v>326</v>
      </c>
      <c r="N2481" s="111">
        <f>IF(M2481=0,0,(M2481/J2481))</f>
        <v>0.99390243902439024</v>
      </c>
    </row>
    <row r="2482" spans="2:14">
      <c r="B2482" s="72">
        <v>127754</v>
      </c>
      <c r="C2482" s="47" t="str">
        <f>"PALMBEACH"</f>
        <v>PALMBEACH</v>
      </c>
      <c r="D2482" s="123">
        <f>SUMIF(B$3:B$3844,B2482,M$3:M$3844)/(SUMIF(B$3:B$3844,B2482,J$3:J$3844))</f>
        <v>0.61922547211652934</v>
      </c>
      <c r="E2482" s="47">
        <v>16026578</v>
      </c>
      <c r="F2482" s="48" t="str">
        <f>"L C SWAIN MIDDLE SCHOOL"</f>
        <v>L C SWAIN MIDDLE SCHOOL</v>
      </c>
      <c r="G2482" s="47"/>
      <c r="H2482" s="47"/>
      <c r="I2482" s="40">
        <v>1084</v>
      </c>
      <c r="J2482" s="40">
        <v>1173</v>
      </c>
      <c r="K2482" s="118"/>
      <c r="L2482" s="119"/>
      <c r="M2482" s="110">
        <f>IF(L2482="",I2482,(MIN(J2482,(L2482*1.6*J2482))))</f>
        <v>1084</v>
      </c>
      <c r="N2482" s="111">
        <f>IF(M2482=0,0,(M2482/J2482))</f>
        <v>0.92412617220801363</v>
      </c>
    </row>
    <row r="2483" spans="2:14">
      <c r="B2483" s="73">
        <v>127754</v>
      </c>
      <c r="C2483" s="23" t="str">
        <f>"PALMBEACH"</f>
        <v>PALMBEACH</v>
      </c>
      <c r="D2483" s="123">
        <f>SUMIF(B$3:B$3844,B2483,M$3:M$3844)/(SUMIF(B$3:B$3844,B2483,J$3:J$3844))</f>
        <v>0.61922547211652934</v>
      </c>
      <c r="E2483" s="23">
        <v>37271</v>
      </c>
      <c r="F2483" s="46" t="str">
        <f>"LAKE PARK ELEMENTARY SCHOOL"</f>
        <v>LAKE PARK ELEMENTARY SCHOOL</v>
      </c>
      <c r="G2483" s="23"/>
      <c r="H2483" s="23"/>
      <c r="I2483" s="41">
        <v>338</v>
      </c>
      <c r="J2483" s="41">
        <v>344</v>
      </c>
      <c r="K2483" s="118"/>
      <c r="L2483" s="119"/>
      <c r="M2483" s="110">
        <f>IF(L2483="",I2483,(MIN(J2483,(L2483*1.6*J2483))))</f>
        <v>338</v>
      </c>
      <c r="N2483" s="111">
        <f>IF(M2483=0,0,(M2483/J2483))</f>
        <v>0.98255813953488369</v>
      </c>
    </row>
    <row r="2484" spans="2:14">
      <c r="B2484" s="72">
        <v>127754</v>
      </c>
      <c r="C2484" s="47" t="str">
        <f>"PALMBEACH"</f>
        <v>PALMBEACH</v>
      </c>
      <c r="D2484" s="123">
        <f>SUMIF(B$3:B$3844,B2484,M$3:M$3844)/(SUMIF(B$3:B$3844,B2484,J$3:J$3844))</f>
        <v>0.61922547211652934</v>
      </c>
      <c r="E2484" s="47">
        <v>37365</v>
      </c>
      <c r="F2484" s="48" t="str">
        <f>"LAKE SHORE MIDDLE SCHOOL"</f>
        <v>LAKE SHORE MIDDLE SCHOOL</v>
      </c>
      <c r="G2484" s="47"/>
      <c r="H2484" s="47"/>
      <c r="I2484" s="40">
        <v>627</v>
      </c>
      <c r="J2484" s="40">
        <v>648</v>
      </c>
      <c r="K2484" s="118"/>
      <c r="L2484" s="119"/>
      <c r="M2484" s="110">
        <f>IF(L2484="",I2484,(MIN(J2484,(L2484*1.6*J2484))))</f>
        <v>627</v>
      </c>
      <c r="N2484" s="111">
        <f>IF(M2484=0,0,(M2484/J2484))</f>
        <v>0.96759259259259256</v>
      </c>
    </row>
    <row r="2485" spans="2:14">
      <c r="B2485" s="73">
        <v>127754</v>
      </c>
      <c r="C2485" s="23" t="str">
        <f>"PALMBEACH"</f>
        <v>PALMBEACH</v>
      </c>
      <c r="D2485" s="123">
        <f>SUMIF(B$3:B$3844,B2485,M$3:M$3844)/(SUMIF(B$3:B$3844,B2485,J$3:J$3844))</f>
        <v>0.61922547211652934</v>
      </c>
      <c r="E2485" s="23">
        <v>37464</v>
      </c>
      <c r="F2485" s="46" t="str">
        <f>"LAKE WORTH COMMUNITY MIDDLE"</f>
        <v>LAKE WORTH COMMUNITY MIDDLE</v>
      </c>
      <c r="G2485" s="23"/>
      <c r="H2485" s="23"/>
      <c r="I2485" s="41">
        <v>911</v>
      </c>
      <c r="J2485" s="41">
        <v>972</v>
      </c>
      <c r="K2485" s="118"/>
      <c r="L2485" s="119"/>
      <c r="M2485" s="110">
        <f>IF(L2485="",I2485,(MIN(J2485,(L2485*1.6*J2485))))</f>
        <v>911</v>
      </c>
      <c r="N2485" s="111">
        <f>IF(M2485=0,0,(M2485/J2485))</f>
        <v>0.93724279835390945</v>
      </c>
    </row>
    <row r="2486" spans="2:14">
      <c r="B2486" s="72">
        <v>127754</v>
      </c>
      <c r="C2486" s="47" t="str">
        <f>"PALMBEACH"</f>
        <v>PALMBEACH</v>
      </c>
      <c r="D2486" s="123">
        <f>SUMIF(B$3:B$3844,B2486,M$3:M$3844)/(SUMIF(B$3:B$3844,B2486,J$3:J$3844))</f>
        <v>0.61922547211652934</v>
      </c>
      <c r="E2486" s="47">
        <v>37456</v>
      </c>
      <c r="F2486" s="48" t="str">
        <f>"LAKE WORTH HIGH SCHOOL"</f>
        <v>LAKE WORTH HIGH SCHOOL</v>
      </c>
      <c r="G2486" s="47"/>
      <c r="H2486" s="47"/>
      <c r="I2486" s="40">
        <v>2248</v>
      </c>
      <c r="J2486" s="40">
        <v>2596</v>
      </c>
      <c r="K2486" s="118"/>
      <c r="L2486" s="119"/>
      <c r="M2486" s="110">
        <f>IF(L2486="",I2486,(MIN(J2486,(L2486*1.6*J2486))))</f>
        <v>2248</v>
      </c>
      <c r="N2486" s="111">
        <f>IF(M2486=0,0,(M2486/J2486))</f>
        <v>0.86594761171032353</v>
      </c>
    </row>
    <row r="2487" spans="2:14">
      <c r="B2487" s="73">
        <v>127754</v>
      </c>
      <c r="C2487" s="23" t="str">
        <f>"PALMBEACH"</f>
        <v>PALMBEACH</v>
      </c>
      <c r="D2487" s="123">
        <f>SUMIF(B$3:B$3844,B2487,M$3:M$3844)/(SUMIF(B$3:B$3844,B2487,J$3:J$3844))</f>
        <v>0.61922547211652934</v>
      </c>
      <c r="E2487" s="23">
        <v>37469</v>
      </c>
      <c r="F2487" s="46" t="str">
        <f>"LANTANA ELEMENTARY SCHOOL"</f>
        <v>LANTANA ELEMENTARY SCHOOL</v>
      </c>
      <c r="G2487" s="23"/>
      <c r="H2487" s="23"/>
      <c r="I2487" s="41">
        <v>498</v>
      </c>
      <c r="J2487" s="41">
        <v>529</v>
      </c>
      <c r="K2487" s="118"/>
      <c r="L2487" s="119"/>
      <c r="M2487" s="110">
        <f>IF(L2487="",I2487,(MIN(J2487,(L2487*1.6*J2487))))</f>
        <v>498</v>
      </c>
      <c r="N2487" s="111">
        <f>IF(M2487=0,0,(M2487/J2487))</f>
        <v>0.94139886578449905</v>
      </c>
    </row>
    <row r="2488" spans="2:14">
      <c r="B2488" s="72">
        <v>127754</v>
      </c>
      <c r="C2488" s="47" t="str">
        <f>"PALMBEACH"</f>
        <v>PALMBEACH</v>
      </c>
      <c r="D2488" s="123">
        <f>SUMIF(B$3:B$3844,B2488,M$3:M$3844)/(SUMIF(B$3:B$3844,B2488,J$3:J$3844))</f>
        <v>0.61922547211652934</v>
      </c>
      <c r="E2488" s="47">
        <v>37470</v>
      </c>
      <c r="F2488" s="48" t="str">
        <f>"LANTANA MIDDLE SCHOOL"</f>
        <v>LANTANA MIDDLE SCHOOL</v>
      </c>
      <c r="G2488" s="47"/>
      <c r="H2488" s="47"/>
      <c r="I2488" s="40">
        <v>684</v>
      </c>
      <c r="J2488" s="40">
        <v>779</v>
      </c>
      <c r="K2488" s="118"/>
      <c r="L2488" s="119"/>
      <c r="M2488" s="110">
        <f>IF(L2488="",I2488,(MIN(J2488,(L2488*1.6*J2488))))</f>
        <v>684</v>
      </c>
      <c r="N2488" s="111">
        <f>IF(M2488=0,0,(M2488/J2488))</f>
        <v>0.87804878048780488</v>
      </c>
    </row>
    <row r="2489" spans="2:14">
      <c r="B2489" s="73">
        <v>127754</v>
      </c>
      <c r="C2489" s="23" t="str">
        <f>"PALMBEACH"</f>
        <v>PALMBEACH</v>
      </c>
      <c r="D2489" s="123">
        <f>SUMIF(B$3:B$3844,B2489,M$3:M$3844)/(SUMIF(B$3:B$3844,B2489,J$3:J$3844))</f>
        <v>0.61922547211652934</v>
      </c>
      <c r="E2489" s="23">
        <v>37334</v>
      </c>
      <c r="F2489" s="46" t="str">
        <f>"LIBERTY PARK ELEMENTARY SCHOOL"</f>
        <v>LIBERTY PARK ELEMENTARY SCHOOL</v>
      </c>
      <c r="G2489" s="23"/>
      <c r="H2489" s="23"/>
      <c r="I2489" s="41">
        <v>965</v>
      </c>
      <c r="J2489" s="41">
        <v>1051</v>
      </c>
      <c r="K2489" s="118"/>
      <c r="L2489" s="119"/>
      <c r="M2489" s="110">
        <f>IF(L2489="",I2489,(MIN(J2489,(L2489*1.6*J2489))))</f>
        <v>965</v>
      </c>
      <c r="N2489" s="111">
        <f>IF(M2489=0,0,(M2489/J2489))</f>
        <v>0.91817316841103713</v>
      </c>
    </row>
    <row r="2490" spans="2:14">
      <c r="B2490" s="72">
        <v>127754</v>
      </c>
      <c r="C2490" s="47" t="str">
        <f>"PALMBEACH"</f>
        <v>PALMBEACH</v>
      </c>
      <c r="D2490" s="123">
        <f>SUMIF(B$3:B$3844,B2490,M$3:M$3844)/(SUMIF(B$3:B$3844,B2490,J$3:J$3844))</f>
        <v>0.61922547211652934</v>
      </c>
      <c r="E2490" s="47">
        <v>37450</v>
      </c>
      <c r="F2490" s="48" t="str">
        <f>"LIGHTHOUSE ELEMENTARY SCHOOL"</f>
        <v>LIGHTHOUSE ELEMENTARY SCHOOL</v>
      </c>
      <c r="G2490" s="47"/>
      <c r="H2490" s="47"/>
      <c r="I2490" s="40">
        <v>120</v>
      </c>
      <c r="J2490" s="40">
        <v>699</v>
      </c>
      <c r="K2490" s="118"/>
      <c r="L2490" s="119"/>
      <c r="M2490" s="110">
        <f>IF(L2490="",I2490,(MIN(J2490,(L2490*1.6*J2490))))</f>
        <v>120</v>
      </c>
      <c r="N2490" s="111">
        <f>IF(M2490=0,0,(M2490/J2490))</f>
        <v>0.17167381974248927</v>
      </c>
    </row>
    <row r="2491" spans="2:14">
      <c r="B2491" s="73">
        <v>127754</v>
      </c>
      <c r="C2491" s="23" t="str">
        <f>"PALMBEACH"</f>
        <v>PALMBEACH</v>
      </c>
      <c r="D2491" s="123">
        <f>SUMIF(B$3:B$3844,B2491,M$3:M$3844)/(SUMIF(B$3:B$3844,B2491,J$3:J$3844))</f>
        <v>0.61922547211652934</v>
      </c>
      <c r="E2491" s="23">
        <v>37443</v>
      </c>
      <c r="F2491" s="46" t="s">
        <v>2223</v>
      </c>
      <c r="G2491" s="23"/>
      <c r="H2491" s="23"/>
      <c r="I2491" s="41">
        <v>232</v>
      </c>
      <c r="J2491" s="41">
        <v>920</v>
      </c>
      <c r="K2491" s="118"/>
      <c r="L2491" s="119"/>
      <c r="M2491" s="110">
        <f>IF(L2491="",I2491,(MIN(J2491,(L2491*1.6*J2491))))</f>
        <v>232</v>
      </c>
      <c r="N2491" s="111">
        <f>IF(M2491=0,0,(M2491/J2491))</f>
        <v>0.25217391304347825</v>
      </c>
    </row>
    <row r="2492" spans="2:14">
      <c r="B2492" s="72">
        <v>127754</v>
      </c>
      <c r="C2492" s="47" t="str">
        <f>"PALMBEACH"</f>
        <v>PALMBEACH</v>
      </c>
      <c r="D2492" s="123">
        <f>SUMIF(B$3:B$3844,B2492,M$3:M$3844)/(SUMIF(B$3:B$3844,B2492,J$3:J$3844))</f>
        <v>0.61922547211652934</v>
      </c>
      <c r="E2492" s="47">
        <v>37280</v>
      </c>
      <c r="F2492" s="48" t="str">
        <f>"LINCOLN ELEMENTARY SCHOOL"</f>
        <v>LINCOLN ELEMENTARY SCHOOL</v>
      </c>
      <c r="G2492" s="47"/>
      <c r="H2492" s="47"/>
      <c r="I2492" s="40">
        <v>539</v>
      </c>
      <c r="J2492" s="40">
        <v>548</v>
      </c>
      <c r="K2492" s="118"/>
      <c r="L2492" s="119"/>
      <c r="M2492" s="110">
        <f>IF(L2492="",I2492,(MIN(J2492,(L2492*1.6*J2492))))</f>
        <v>539</v>
      </c>
      <c r="N2492" s="111">
        <f>IF(M2492=0,0,(M2492/J2492))</f>
        <v>0.98357664233576647</v>
      </c>
    </row>
    <row r="2493" spans="2:14">
      <c r="B2493" s="73">
        <v>127754</v>
      </c>
      <c r="C2493" s="23" t="str">
        <f>"PALMBEACH"</f>
        <v>PALMBEACH</v>
      </c>
      <c r="D2493" s="123">
        <f>SUMIF(B$3:B$3844,B2493,M$3:M$3844)/(SUMIF(B$3:B$3844,B2493,J$3:J$3844))</f>
        <v>0.61922547211652934</v>
      </c>
      <c r="E2493" s="23">
        <v>37357</v>
      </c>
      <c r="F2493" s="46" t="s">
        <v>2224</v>
      </c>
      <c r="G2493" s="23"/>
      <c r="H2493" s="23"/>
      <c r="I2493" s="41">
        <v>458</v>
      </c>
      <c r="J2493" s="41">
        <v>1081</v>
      </c>
      <c r="K2493" s="118"/>
      <c r="L2493" s="119"/>
      <c r="M2493" s="110">
        <f>IF(L2493="",I2493,(MIN(J2493,(L2493*1.6*J2493))))</f>
        <v>458</v>
      </c>
      <c r="N2493" s="111">
        <f>IF(M2493=0,0,(M2493/J2493))</f>
        <v>0.42368177613321001</v>
      </c>
    </row>
    <row r="2494" spans="2:14">
      <c r="B2494" s="72">
        <v>127754</v>
      </c>
      <c r="C2494" s="47" t="str">
        <f>"PALMBEACH"</f>
        <v>PALMBEACH</v>
      </c>
      <c r="D2494" s="123">
        <f>SUMIF(B$3:B$3844,B2494,M$3:M$3844)/(SUMIF(B$3:B$3844,B2494,J$3:J$3844))</f>
        <v>0.61922547211652934</v>
      </c>
      <c r="E2494" s="47">
        <v>37486</v>
      </c>
      <c r="F2494" s="48" t="str">
        <f>"LOXAHATCHEE GROVES ELEMENTARY"</f>
        <v>LOXAHATCHEE GROVES ELEMENTARY</v>
      </c>
      <c r="G2494" s="47"/>
      <c r="H2494" s="47"/>
      <c r="I2494" s="40">
        <v>353</v>
      </c>
      <c r="J2494" s="40">
        <v>576</v>
      </c>
      <c r="K2494" s="118"/>
      <c r="L2494" s="119"/>
      <c r="M2494" s="110">
        <f>IF(L2494="",I2494,(MIN(J2494,(L2494*1.6*J2494))))</f>
        <v>353</v>
      </c>
      <c r="N2494" s="111">
        <f>IF(M2494=0,0,(M2494/J2494))</f>
        <v>0.61284722222222221</v>
      </c>
    </row>
    <row r="2495" spans="2:14">
      <c r="B2495" s="73">
        <v>127754</v>
      </c>
      <c r="C2495" s="23" t="str">
        <f>"PALMBEACH"</f>
        <v>PALMBEACH</v>
      </c>
      <c r="D2495" s="123">
        <f>SUMIF(B$3:B$3844,B2495,M$3:M$3844)/(SUMIF(B$3:B$3844,B2495,J$3:J$3844))</f>
        <v>0.61922547211652934</v>
      </c>
      <c r="E2495" s="23">
        <v>16025590</v>
      </c>
      <c r="F2495" s="46" t="str">
        <f>"MAINTENANCE &amp; PLANT OPERATIONS"</f>
        <v>MAINTENANCE &amp; PLANT OPERATIONS</v>
      </c>
      <c r="G2495" s="23"/>
      <c r="H2495" s="23"/>
      <c r="I2495" s="41"/>
      <c r="J2495" s="41">
        <v>0</v>
      </c>
      <c r="K2495" s="118"/>
      <c r="L2495" s="119"/>
      <c r="M2495" s="110">
        <f>IF(L2495="",I2495,(MIN(J2495,(L2495*1.6*J2495))))</f>
        <v>0</v>
      </c>
      <c r="N2495" s="111">
        <f>IF(M2495=0,0,(M2495/J2495))</f>
        <v>0</v>
      </c>
    </row>
    <row r="2496" spans="2:14">
      <c r="B2496" s="72">
        <v>127754</v>
      </c>
      <c r="C2496" s="47" t="str">
        <f>"PALMBEACH"</f>
        <v>PALMBEACH</v>
      </c>
      <c r="D2496" s="123">
        <f>SUMIF(B$3:B$3844,B2496,M$3:M$3844)/(SUMIF(B$3:B$3844,B2496,J$3:J$3844))</f>
        <v>0.61922547211652934</v>
      </c>
      <c r="E2496" s="47">
        <v>37482</v>
      </c>
      <c r="F2496" s="48" t="str">
        <f>"MANATEE ELEMENTARY SCHOOL"</f>
        <v>MANATEE ELEMENTARY SCHOOL</v>
      </c>
      <c r="G2496" s="47"/>
      <c r="H2496" s="47"/>
      <c r="I2496" s="40">
        <v>413</v>
      </c>
      <c r="J2496" s="40">
        <v>1242</v>
      </c>
      <c r="K2496" s="118"/>
      <c r="L2496" s="119"/>
      <c r="M2496" s="110">
        <f>IF(L2496="",I2496,(MIN(J2496,(L2496*1.6*J2496))))</f>
        <v>413</v>
      </c>
      <c r="N2496" s="111">
        <f>IF(M2496=0,0,(M2496/J2496))</f>
        <v>0.33252818035426729</v>
      </c>
    </row>
    <row r="2497" spans="2:14">
      <c r="B2497" s="73">
        <v>127754</v>
      </c>
      <c r="C2497" s="23" t="str">
        <f>"PALMBEACH"</f>
        <v>PALMBEACH</v>
      </c>
      <c r="D2497" s="123">
        <f>SUMIF(B$3:B$3844,B2497,M$3:M$3844)/(SUMIF(B$3:B$3844,B2497,J$3:J$3844))</f>
        <v>0.61922547211652934</v>
      </c>
      <c r="E2497" s="23">
        <v>16046930</v>
      </c>
      <c r="F2497" s="46" t="str">
        <f>"MARSH POINTE ELEMENTARY"</f>
        <v>MARSH POINTE ELEMENTARY</v>
      </c>
      <c r="G2497" s="23"/>
      <c r="H2497" s="23"/>
      <c r="I2497" s="41">
        <v>160</v>
      </c>
      <c r="J2497" s="41">
        <v>910</v>
      </c>
      <c r="K2497" s="118"/>
      <c r="L2497" s="119"/>
      <c r="M2497" s="110">
        <f>IF(L2497="",I2497,(MIN(J2497,(L2497*1.6*J2497))))</f>
        <v>160</v>
      </c>
      <c r="N2497" s="111">
        <f>IF(M2497=0,0,(M2497/J2497))</f>
        <v>0.17582417582417584</v>
      </c>
    </row>
    <row r="2498" spans="2:14">
      <c r="B2498" s="72">
        <v>127754</v>
      </c>
      <c r="C2498" s="47" t="str">
        <f>"PALMBEACH"</f>
        <v>PALMBEACH</v>
      </c>
      <c r="D2498" s="123">
        <f>SUMIF(B$3:B$3844,B2498,M$3:M$3844)/(SUMIF(B$3:B$3844,B2498,J$3:J$3844))</f>
        <v>0.61922547211652934</v>
      </c>
      <c r="E2498" s="47">
        <v>16026760</v>
      </c>
      <c r="F2498" s="48" t="str">
        <f>"MCKESSON BUILDING"</f>
        <v>MCKESSON BUILDING</v>
      </c>
      <c r="G2498" s="47"/>
      <c r="H2498" s="47"/>
      <c r="I2498" s="40"/>
      <c r="J2498" s="40">
        <v>0</v>
      </c>
      <c r="K2498" s="118"/>
      <c r="L2498" s="119"/>
      <c r="M2498" s="110">
        <f>IF(L2498="",I2498,(MIN(J2498,(L2498*1.6*J2498))))</f>
        <v>0</v>
      </c>
      <c r="N2498" s="111">
        <f>IF(M2498=0,0,(M2498/J2498))</f>
        <v>0</v>
      </c>
    </row>
    <row r="2499" spans="2:14">
      <c r="B2499" s="73">
        <v>127754</v>
      </c>
      <c r="C2499" s="23" t="str">
        <f>"PALMBEACH"</f>
        <v>PALMBEACH</v>
      </c>
      <c r="D2499" s="123">
        <f>SUMIF(B$3:B$3844,B2499,M$3:M$3844)/(SUMIF(B$3:B$3844,B2499,J$3:J$3844))</f>
        <v>0.61922547211652934</v>
      </c>
      <c r="E2499" s="23">
        <v>37290</v>
      </c>
      <c r="F2499" s="46" t="str">
        <f>"MEADOW PARK ELEMENTARY SCHOOL"</f>
        <v>MEADOW PARK ELEMENTARY SCHOOL</v>
      </c>
      <c r="G2499" s="23"/>
      <c r="H2499" s="23"/>
      <c r="I2499" s="41">
        <v>603</v>
      </c>
      <c r="J2499" s="41">
        <v>766</v>
      </c>
      <c r="K2499" s="118"/>
      <c r="L2499" s="119"/>
      <c r="M2499" s="110">
        <f>IF(L2499="",I2499,(MIN(J2499,(L2499*1.6*J2499))))</f>
        <v>603</v>
      </c>
      <c r="N2499" s="111">
        <f>IF(M2499=0,0,(M2499/J2499))</f>
        <v>0.78720626631853785</v>
      </c>
    </row>
    <row r="2500" spans="2:14">
      <c r="B2500" s="72">
        <v>127754</v>
      </c>
      <c r="C2500" s="47" t="str">
        <f>"PALMBEACH"</f>
        <v>PALMBEACH</v>
      </c>
      <c r="D2500" s="123">
        <f>SUMIF(B$3:B$3844,B2500,M$3:M$3844)/(SUMIF(B$3:B$3844,B2500,J$3:J$3844))</f>
        <v>0.61922547211652934</v>
      </c>
      <c r="E2500" s="47">
        <v>37343</v>
      </c>
      <c r="F2500" s="48" t="str">
        <f>"MELALEUCA ELEMENTARY SCHOOL"</f>
        <v>MELALEUCA ELEMENTARY SCHOOL</v>
      </c>
      <c r="G2500" s="47"/>
      <c r="H2500" s="47"/>
      <c r="I2500" s="40">
        <v>742</v>
      </c>
      <c r="J2500" s="40">
        <v>801</v>
      </c>
      <c r="K2500" s="118"/>
      <c r="L2500" s="119"/>
      <c r="M2500" s="110">
        <f>IF(L2500="",I2500,(MIN(J2500,(L2500*1.6*J2500))))</f>
        <v>742</v>
      </c>
      <c r="N2500" s="111">
        <f>IF(M2500=0,0,(M2500/J2500))</f>
        <v>0.92634207240948818</v>
      </c>
    </row>
    <row r="2501" spans="2:14">
      <c r="B2501" s="73">
        <v>127754</v>
      </c>
      <c r="C2501" s="23" t="str">
        <f>"PALMBEACH"</f>
        <v>PALMBEACH</v>
      </c>
      <c r="D2501" s="123">
        <f>SUMIF(B$3:B$3844,B2501,M$3:M$3844)/(SUMIF(B$3:B$3844,B2501,J$3:J$3844))</f>
        <v>0.61922547211652934</v>
      </c>
      <c r="E2501" s="23">
        <v>203801</v>
      </c>
      <c r="F2501" s="46" t="s">
        <v>2225</v>
      </c>
      <c r="G2501" s="23"/>
      <c r="H2501" s="23"/>
      <c r="I2501" s="41">
        <v>160</v>
      </c>
      <c r="J2501" s="41">
        <v>808</v>
      </c>
      <c r="K2501" s="118"/>
      <c r="L2501" s="119"/>
      <c r="M2501" s="110">
        <f>IF(L2501="",I2501,(MIN(J2501,(L2501*1.6*J2501))))</f>
        <v>160</v>
      </c>
      <c r="N2501" s="111">
        <f>IF(M2501=0,0,(M2501/J2501))</f>
        <v>0.19801980198019803</v>
      </c>
    </row>
    <row r="2502" spans="2:14">
      <c r="B2502" s="72">
        <v>127754</v>
      </c>
      <c r="C2502" s="47" t="str">
        <f>"PALMBEACH"</f>
        <v>PALMBEACH</v>
      </c>
      <c r="D2502" s="123">
        <f>SUMIF(B$3:B$3844,B2502,M$3:M$3844)/(SUMIF(B$3:B$3844,B2502,J$3:J$3844))</f>
        <v>0.61922547211652934</v>
      </c>
      <c r="E2502" s="47">
        <v>37338</v>
      </c>
      <c r="F2502" s="48" t="str">
        <f>"NEW HORIZONS ELEMENTARY SCHOOL"</f>
        <v>NEW HORIZONS ELEMENTARY SCHOOL</v>
      </c>
      <c r="G2502" s="47"/>
      <c r="H2502" s="47"/>
      <c r="I2502" s="40">
        <v>349</v>
      </c>
      <c r="J2502" s="40">
        <v>625</v>
      </c>
      <c r="K2502" s="118"/>
      <c r="L2502" s="119"/>
      <c r="M2502" s="110">
        <f>IF(L2502="",I2502,(MIN(J2502,(L2502*1.6*J2502))))</f>
        <v>349</v>
      </c>
      <c r="N2502" s="111">
        <f>IF(M2502=0,0,(M2502/J2502))</f>
        <v>0.55840000000000001</v>
      </c>
    </row>
    <row r="2503" spans="2:14">
      <c r="B2503" s="73">
        <v>127754</v>
      </c>
      <c r="C2503" s="23" t="str">
        <f>"PALMBEACH"</f>
        <v>PALMBEACH</v>
      </c>
      <c r="D2503" s="123">
        <f>SUMIF(B$3:B$3844,B2503,M$3:M$3844)/(SUMIF(B$3:B$3844,B2503,J$3:J$3844))</f>
        <v>0.61922547211652934</v>
      </c>
      <c r="E2503" s="23">
        <v>16061804</v>
      </c>
      <c r="F2503" s="46" t="s">
        <v>2226</v>
      </c>
      <c r="G2503" s="23"/>
      <c r="H2503" s="23"/>
      <c r="I2503" s="41"/>
      <c r="J2503" s="41" t="s">
        <v>798</v>
      </c>
      <c r="K2503" s="118"/>
      <c r="L2503" s="119"/>
      <c r="M2503" s="110">
        <f>IF(L2503="",I2503,(MIN(J2503,(L2503*1.6*J2503))))</f>
        <v>0</v>
      </c>
      <c r="N2503" s="111">
        <f>IF(M2503=0,0,(M2503/J2503))</f>
        <v>0</v>
      </c>
    </row>
    <row r="2504" spans="2:14">
      <c r="B2504" s="72">
        <v>127754</v>
      </c>
      <c r="C2504" s="47" t="str">
        <f>"PALMBEACH"</f>
        <v>PALMBEACH</v>
      </c>
      <c r="D2504" s="123">
        <f>SUMIF(B$3:B$3844,B2504,M$3:M$3844)/(SUMIF(B$3:B$3844,B2504,J$3:J$3844))</f>
        <v>0.61922547211652934</v>
      </c>
      <c r="E2504" s="47">
        <v>16076799</v>
      </c>
      <c r="F2504" s="48" t="str">
        <f>"NORTH COUNTY TESTING CENTER"</f>
        <v>NORTH COUNTY TESTING CENTER</v>
      </c>
      <c r="G2504" s="47"/>
      <c r="H2504" s="47"/>
      <c r="I2504" s="40"/>
      <c r="J2504" s="40">
        <v>0</v>
      </c>
      <c r="K2504" s="118"/>
      <c r="L2504" s="119"/>
      <c r="M2504" s="110">
        <f>IF(L2504="",I2504,(MIN(J2504,(L2504*1.6*J2504))))</f>
        <v>0</v>
      </c>
      <c r="N2504" s="111">
        <f>IF(M2504=0,0,(M2504/J2504))</f>
        <v>0</v>
      </c>
    </row>
    <row r="2505" spans="2:14">
      <c r="B2505" s="73">
        <v>127754</v>
      </c>
      <c r="C2505" s="23" t="str">
        <f>"PALMBEACH"</f>
        <v>PALMBEACH</v>
      </c>
      <c r="D2505" s="123">
        <f>SUMIF(B$3:B$3844,B2505,M$3:M$3844)/(SUMIF(B$3:B$3844,B2505,J$3:J$3844))</f>
        <v>0.61922547211652934</v>
      </c>
      <c r="E2505" s="23">
        <v>37454</v>
      </c>
      <c r="F2505" s="46" t="str">
        <f>"NORTH GRADE ELEMENTARY SCHOOL"</f>
        <v>NORTH GRADE ELEMENTARY SCHOOL</v>
      </c>
      <c r="G2505" s="23"/>
      <c r="H2505" s="23"/>
      <c r="I2505" s="41">
        <v>615</v>
      </c>
      <c r="J2505" s="41">
        <v>754</v>
      </c>
      <c r="K2505" s="118"/>
      <c r="L2505" s="119"/>
      <c r="M2505" s="110">
        <f>IF(L2505="",I2505,(MIN(J2505,(L2505*1.6*J2505))))</f>
        <v>615</v>
      </c>
      <c r="N2505" s="111">
        <f>IF(M2505=0,0,(M2505/J2505))</f>
        <v>0.81564986737400536</v>
      </c>
    </row>
    <row r="2506" spans="2:14">
      <c r="B2506" s="72">
        <v>127754</v>
      </c>
      <c r="C2506" s="47" t="str">
        <f>"PALMBEACH"</f>
        <v>PALMBEACH</v>
      </c>
      <c r="D2506" s="123">
        <f>SUMIF(B$3:B$3844,B2506,M$3:M$3844)/(SUMIF(B$3:B$3844,B2506,J$3:J$3844))</f>
        <v>0.61922547211652934</v>
      </c>
      <c r="E2506" s="47">
        <v>16046950</v>
      </c>
      <c r="F2506" s="48" t="s">
        <v>2227</v>
      </c>
      <c r="G2506" s="47"/>
      <c r="H2506" s="47"/>
      <c r="I2506" s="40"/>
      <c r="J2506" s="40">
        <v>0</v>
      </c>
      <c r="K2506" s="118"/>
      <c r="L2506" s="119"/>
      <c r="M2506" s="110">
        <f>IF(L2506="",I2506,(MIN(J2506,(L2506*1.6*J2506))))</f>
        <v>0</v>
      </c>
      <c r="N2506" s="111">
        <f>IF(M2506=0,0,(M2506/J2506))</f>
        <v>0</v>
      </c>
    </row>
    <row r="2507" spans="2:14">
      <c r="B2507" s="73">
        <v>127754</v>
      </c>
      <c r="C2507" s="23" t="str">
        <f>"PALMBEACH"</f>
        <v>PALMBEACH</v>
      </c>
      <c r="D2507" s="123">
        <f>SUMIF(B$3:B$3844,B2507,M$3:M$3844)/(SUMIF(B$3:B$3844,B2507,J$3:J$3844))</f>
        <v>0.61922547211652934</v>
      </c>
      <c r="E2507" s="23">
        <v>37299</v>
      </c>
      <c r="F2507" s="46" t="str">
        <f>"NORTHBORO ELEMENTARY SCHOOL"</f>
        <v>NORTHBORO ELEMENTARY SCHOOL</v>
      </c>
      <c r="G2507" s="23"/>
      <c r="H2507" s="23"/>
      <c r="I2507" s="41">
        <v>572</v>
      </c>
      <c r="J2507" s="41">
        <v>772</v>
      </c>
      <c r="K2507" s="118"/>
      <c r="L2507" s="119"/>
      <c r="M2507" s="110">
        <f>IF(L2507="",I2507,(MIN(J2507,(L2507*1.6*J2507))))</f>
        <v>572</v>
      </c>
      <c r="N2507" s="111">
        <f>IF(M2507=0,0,(M2507/J2507))</f>
        <v>0.7409326424870466</v>
      </c>
    </row>
    <row r="2508" spans="2:14">
      <c r="B2508" s="72">
        <v>127754</v>
      </c>
      <c r="C2508" s="47" t="str">
        <f>"PALMBEACH"</f>
        <v>PALMBEACH</v>
      </c>
      <c r="D2508" s="123">
        <f>SUMIF(B$3:B$3844,B2508,M$3:M$3844)/(SUMIF(B$3:B$3844,B2508,J$3:J$3844))</f>
        <v>0.61922547211652934</v>
      </c>
      <c r="E2508" s="47">
        <v>37298</v>
      </c>
      <c r="F2508" s="48" t="str">
        <f>"NORTHMORE ELEMENTARY SCHOOL"</f>
        <v>NORTHMORE ELEMENTARY SCHOOL</v>
      </c>
      <c r="G2508" s="47"/>
      <c r="H2508" s="47"/>
      <c r="I2508" s="40">
        <v>462</v>
      </c>
      <c r="J2508" s="40">
        <v>469</v>
      </c>
      <c r="K2508" s="118"/>
      <c r="L2508" s="119"/>
      <c r="M2508" s="110">
        <f>IF(L2508="",I2508,(MIN(J2508,(L2508*1.6*J2508))))</f>
        <v>462</v>
      </c>
      <c r="N2508" s="111">
        <f>IF(M2508=0,0,(M2508/J2508))</f>
        <v>0.9850746268656716</v>
      </c>
    </row>
    <row r="2509" spans="2:14">
      <c r="B2509" s="73">
        <v>127754</v>
      </c>
      <c r="C2509" s="23" t="str">
        <f>"PALMBEACH"</f>
        <v>PALMBEACH</v>
      </c>
      <c r="D2509" s="123">
        <f>SUMIF(B$3:B$3844,B2509,M$3:M$3844)/(SUMIF(B$3:B$3844,B2509,J$3:J$3844))</f>
        <v>0.61922547211652934</v>
      </c>
      <c r="E2509" s="23">
        <v>226935</v>
      </c>
      <c r="F2509" s="46" t="str">
        <f>"ODYSSEY MIDDLE SCHOOL"</f>
        <v>ODYSSEY MIDDLE SCHOOL</v>
      </c>
      <c r="G2509" s="23"/>
      <c r="H2509" s="23"/>
      <c r="I2509" s="41">
        <v>605</v>
      </c>
      <c r="J2509" s="41">
        <v>704</v>
      </c>
      <c r="K2509" s="118"/>
      <c r="L2509" s="119"/>
      <c r="M2509" s="110">
        <f>IF(L2509="",I2509,(MIN(J2509,(L2509*1.6*J2509))))</f>
        <v>605</v>
      </c>
      <c r="N2509" s="111">
        <f>IF(M2509=0,0,(M2509/J2509))</f>
        <v>0.859375</v>
      </c>
    </row>
    <row r="2510" spans="2:14">
      <c r="B2510" s="72">
        <v>127754</v>
      </c>
      <c r="C2510" s="47" t="str">
        <f>"PALMBEACH"</f>
        <v>PALMBEACH</v>
      </c>
      <c r="D2510" s="123">
        <f>SUMIF(B$3:B$3844,B2510,M$3:M$3844)/(SUMIF(B$3:B$3844,B2510,J$3:J$3844))</f>
        <v>0.61922547211652934</v>
      </c>
      <c r="E2510" s="47">
        <v>37335</v>
      </c>
      <c r="F2510" s="48" t="str">
        <f>"OKEEHEELEE MIDDLE SCHOOL"</f>
        <v>OKEEHEELEE MIDDLE SCHOOL</v>
      </c>
      <c r="G2510" s="47"/>
      <c r="H2510" s="47"/>
      <c r="I2510" s="40">
        <v>1190</v>
      </c>
      <c r="J2510" s="40">
        <v>1423</v>
      </c>
      <c r="K2510" s="118"/>
      <c r="L2510" s="119"/>
      <c r="M2510" s="110">
        <f>IF(L2510="",I2510,(MIN(J2510,(L2510*1.6*J2510))))</f>
        <v>1190</v>
      </c>
      <c r="N2510" s="111">
        <f>IF(M2510=0,0,(M2510/J2510))</f>
        <v>0.83626141953619115</v>
      </c>
    </row>
    <row r="2511" spans="2:14">
      <c r="B2511" s="73">
        <v>127754</v>
      </c>
      <c r="C2511" s="23" t="str">
        <f>"PALMBEACH"</f>
        <v>PALMBEACH</v>
      </c>
      <c r="D2511" s="123">
        <f>SUMIF(B$3:B$3844,B2511,M$3:M$3844)/(SUMIF(B$3:B$3844,B2511,J$3:J$3844))</f>
        <v>0.61922547211652934</v>
      </c>
      <c r="E2511" s="23">
        <v>37367</v>
      </c>
      <c r="F2511" s="46" t="str">
        <f>"OLD GLADE VIEW SITE"</f>
        <v>OLD GLADE VIEW SITE</v>
      </c>
      <c r="G2511" s="23"/>
      <c r="H2511" s="23"/>
      <c r="I2511" s="41"/>
      <c r="J2511" s="41">
        <v>0</v>
      </c>
      <c r="K2511" s="118"/>
      <c r="L2511" s="119"/>
      <c r="M2511" s="110">
        <f>IF(L2511="",I2511,(MIN(J2511,(L2511*1.6*J2511))))</f>
        <v>0</v>
      </c>
      <c r="N2511" s="111">
        <f>IF(M2511=0,0,(M2511/J2511))</f>
        <v>0</v>
      </c>
    </row>
    <row r="2512" spans="2:14">
      <c r="B2512" s="72">
        <v>127754</v>
      </c>
      <c r="C2512" s="47" t="str">
        <f>"PALMBEACH"</f>
        <v>PALMBEACH</v>
      </c>
      <c r="D2512" s="123">
        <f>SUMIF(B$3:B$3844,B2512,M$3:M$3844)/(SUMIF(B$3:B$3844,B2512,J$3:J$3844))</f>
        <v>0.61922547211652934</v>
      </c>
      <c r="E2512" s="47">
        <v>37388</v>
      </c>
      <c r="F2512" s="48" t="str">
        <f>"OLYMPIC HEIGHTS COMMUNITY HIGH"</f>
        <v>OLYMPIC HEIGHTS COMMUNITY HIGH</v>
      </c>
      <c r="G2512" s="47"/>
      <c r="H2512" s="47"/>
      <c r="I2512" s="40">
        <v>856</v>
      </c>
      <c r="J2512" s="40">
        <v>2018</v>
      </c>
      <c r="K2512" s="118"/>
      <c r="L2512" s="119"/>
      <c r="M2512" s="110">
        <f>IF(L2512="",I2512,(MIN(J2512,(L2512*1.6*J2512))))</f>
        <v>856</v>
      </c>
      <c r="N2512" s="111">
        <f>IF(M2512=0,0,(M2512/J2512))</f>
        <v>0.42418235877106047</v>
      </c>
    </row>
    <row r="2513" spans="2:14">
      <c r="B2513" s="73">
        <v>127754</v>
      </c>
      <c r="C2513" s="23" t="str">
        <f>"PALMBEACH"</f>
        <v>PALMBEACH</v>
      </c>
      <c r="D2513" s="123">
        <f>SUMIF(B$3:B$3844,B2513,M$3:M$3844)/(SUMIF(B$3:B$3844,B2513,J$3:J$3844))</f>
        <v>0.61922547211652934</v>
      </c>
      <c r="E2513" s="23">
        <v>37512</v>
      </c>
      <c r="F2513" s="46" t="str">
        <f>"OMNI MIDDLE SCHOOL"</f>
        <v>OMNI MIDDLE SCHOOL</v>
      </c>
      <c r="G2513" s="23"/>
      <c r="H2513" s="23"/>
      <c r="I2513" s="41">
        <v>483</v>
      </c>
      <c r="J2513" s="41">
        <v>1401</v>
      </c>
      <c r="K2513" s="118"/>
      <c r="L2513" s="119"/>
      <c r="M2513" s="110">
        <f>IF(L2513="",I2513,(MIN(J2513,(L2513*1.6*J2513))))</f>
        <v>483</v>
      </c>
      <c r="N2513" s="111">
        <f>IF(M2513=0,0,(M2513/J2513))</f>
        <v>0.34475374732334046</v>
      </c>
    </row>
    <row r="2514" spans="2:14">
      <c r="B2514" s="72">
        <v>127754</v>
      </c>
      <c r="C2514" s="47" t="str">
        <f>"PALMBEACH"</f>
        <v>PALMBEACH</v>
      </c>
      <c r="D2514" s="123">
        <f>SUMIF(B$3:B$3844,B2514,M$3:M$3844)/(SUMIF(B$3:B$3844,B2514,J$3:J$3844))</f>
        <v>0.61922547211652934</v>
      </c>
      <c r="E2514" s="47">
        <v>37437</v>
      </c>
      <c r="F2514" s="48" t="str">
        <f>"ORCHARD VIEW ELEMENTARY SCHOOL"</f>
        <v>ORCHARD VIEW ELEMENTARY SCHOOL</v>
      </c>
      <c r="G2514" s="47"/>
      <c r="H2514" s="47"/>
      <c r="I2514" s="40">
        <v>523</v>
      </c>
      <c r="J2514" s="40">
        <v>591</v>
      </c>
      <c r="K2514" s="118"/>
      <c r="L2514" s="119"/>
      <c r="M2514" s="110">
        <f>IF(L2514="",I2514,(MIN(J2514,(L2514*1.6*J2514))))</f>
        <v>523</v>
      </c>
      <c r="N2514" s="111">
        <f>IF(M2514=0,0,(M2514/J2514))</f>
        <v>0.88494077834179352</v>
      </c>
    </row>
    <row r="2515" spans="2:14">
      <c r="B2515" s="73">
        <v>127754</v>
      </c>
      <c r="C2515" s="23" t="str">
        <f>"PALMBEACH"</f>
        <v>PALMBEACH</v>
      </c>
      <c r="D2515" s="123">
        <f>SUMIF(B$3:B$3844,B2515,M$3:M$3844)/(SUMIF(B$3:B$3844,B2515,J$3:J$3844))</f>
        <v>0.61922547211652934</v>
      </c>
      <c r="E2515" s="23">
        <v>16025585</v>
      </c>
      <c r="F2515" s="46" t="str">
        <f>"OSCEOLA CREEK MIDDLE SCHOOL"</f>
        <v>OSCEOLA CREEK MIDDLE SCHOOL</v>
      </c>
      <c r="G2515" s="23"/>
      <c r="H2515" s="23"/>
      <c r="I2515" s="41">
        <v>327</v>
      </c>
      <c r="J2515" s="41">
        <v>666</v>
      </c>
      <c r="K2515" s="118"/>
      <c r="L2515" s="119"/>
      <c r="M2515" s="110">
        <f>IF(L2515="",I2515,(MIN(J2515,(L2515*1.6*J2515))))</f>
        <v>327</v>
      </c>
      <c r="N2515" s="111">
        <f>IF(M2515=0,0,(M2515/J2515))</f>
        <v>0.49099099099099097</v>
      </c>
    </row>
    <row r="2516" spans="2:14">
      <c r="B2516" s="72">
        <v>127754</v>
      </c>
      <c r="C2516" s="47" t="str">
        <f>"PALMBEACH"</f>
        <v>PALMBEACH</v>
      </c>
      <c r="D2516" s="123">
        <f>SUMIF(B$3:B$3844,B2516,M$3:M$3844)/(SUMIF(B$3:B$3844,B2516,J$3:J$3844))</f>
        <v>0.61922547211652934</v>
      </c>
      <c r="E2516" s="47">
        <v>215113</v>
      </c>
      <c r="F2516" s="48" t="str">
        <f>"PACE CENTER FOR GIRLS"</f>
        <v>PACE CENTER FOR GIRLS</v>
      </c>
      <c r="G2516" s="47"/>
      <c r="H2516" s="47"/>
      <c r="I2516" s="40">
        <v>1</v>
      </c>
      <c r="J2516" s="40">
        <v>44</v>
      </c>
      <c r="K2516" s="118"/>
      <c r="L2516" s="119"/>
      <c r="M2516" s="110">
        <f>IF(L2516="",I2516,(MIN(J2516,(L2516*1.6*J2516))))</f>
        <v>1</v>
      </c>
      <c r="N2516" s="111">
        <f>IF(M2516=0,0,(M2516/J2516))</f>
        <v>2.2727272727272728E-2</v>
      </c>
    </row>
    <row r="2517" spans="2:14">
      <c r="B2517" s="73">
        <v>127754</v>
      </c>
      <c r="C2517" s="23" t="str">
        <f>"PALMBEACH"</f>
        <v>PALMBEACH</v>
      </c>
      <c r="D2517" s="123">
        <f>SUMIF(B$3:B$3844,B2517,M$3:M$3844)/(SUMIF(B$3:B$3844,B2517,J$3:J$3844))</f>
        <v>0.61922547211652934</v>
      </c>
      <c r="E2517" s="23">
        <v>37494</v>
      </c>
      <c r="F2517" s="46" t="str">
        <f>"PAHOKEE ELEMENTARY SCHOOL"</f>
        <v>PAHOKEE ELEMENTARY SCHOOL</v>
      </c>
      <c r="G2517" s="23"/>
      <c r="H2517" s="23"/>
      <c r="I2517" s="41">
        <v>397</v>
      </c>
      <c r="J2517" s="41">
        <v>409</v>
      </c>
      <c r="K2517" s="118"/>
      <c r="L2517" s="119"/>
      <c r="M2517" s="110">
        <f>IF(L2517="",I2517,(MIN(J2517,(L2517*1.6*J2517))))</f>
        <v>397</v>
      </c>
      <c r="N2517" s="111">
        <f>IF(M2517=0,0,(M2517/J2517))</f>
        <v>0.97066014669926648</v>
      </c>
    </row>
    <row r="2518" spans="2:14">
      <c r="B2518" s="72">
        <v>127754</v>
      </c>
      <c r="C2518" s="47" t="str">
        <f>"PALMBEACH"</f>
        <v>PALMBEACH</v>
      </c>
      <c r="D2518" s="123">
        <f>SUMIF(B$3:B$3844,B2518,M$3:M$3844)/(SUMIF(B$3:B$3844,B2518,J$3:J$3844))</f>
        <v>0.61922547211652934</v>
      </c>
      <c r="E2518" s="47">
        <v>37493</v>
      </c>
      <c r="F2518" s="48" t="str">
        <f>"PAHOKEE HIGH SCHOOL"</f>
        <v>PAHOKEE HIGH SCHOOL</v>
      </c>
      <c r="G2518" s="47"/>
      <c r="H2518" s="47"/>
      <c r="I2518" s="40">
        <v>793</v>
      </c>
      <c r="J2518" s="40">
        <v>840</v>
      </c>
      <c r="K2518" s="118"/>
      <c r="L2518" s="119"/>
      <c r="M2518" s="110">
        <f>IF(L2518="",I2518,(MIN(J2518,(L2518*1.6*J2518))))</f>
        <v>793</v>
      </c>
      <c r="N2518" s="111">
        <f>IF(M2518=0,0,(M2518/J2518))</f>
        <v>0.94404761904761902</v>
      </c>
    </row>
    <row r="2519" spans="2:14">
      <c r="B2519" s="73">
        <v>127754</v>
      </c>
      <c r="C2519" s="23" t="str">
        <f>"PALMBEACH"</f>
        <v>PALMBEACH</v>
      </c>
      <c r="D2519" s="123">
        <f>SUMIF(B$3:B$3844,B2519,M$3:M$3844)/(SUMIF(B$3:B$3844,B2519,J$3:J$3844))</f>
        <v>0.61922547211652934</v>
      </c>
      <c r="E2519" s="23">
        <v>16055817</v>
      </c>
      <c r="F2519" s="46" t="str">
        <f>"PAHOKEE MIDDLE SCHOOL"</f>
        <v>PAHOKEE MIDDLE SCHOOL</v>
      </c>
      <c r="G2519" s="23"/>
      <c r="H2519" s="23"/>
      <c r="I2519" s="41">
        <v>793</v>
      </c>
      <c r="J2519" s="41">
        <v>840</v>
      </c>
      <c r="K2519" s="118"/>
      <c r="L2519" s="119"/>
      <c r="M2519" s="110">
        <f>IF(L2519="",I2519,(MIN(J2519,(L2519*1.6*J2519))))</f>
        <v>793</v>
      </c>
      <c r="N2519" s="111">
        <f>IF(M2519=0,0,(M2519/J2519))</f>
        <v>0.94404761904761902</v>
      </c>
    </row>
    <row r="2520" spans="2:14">
      <c r="B2520" s="72">
        <v>127754</v>
      </c>
      <c r="C2520" s="47" t="str">
        <f>"PALMBEACH"</f>
        <v>PALMBEACH</v>
      </c>
      <c r="D2520" s="123">
        <f>SUMIF(B$3:B$3844,B2520,M$3:M$3844)/(SUMIF(B$3:B$3844,B2520,J$3:J$3844))</f>
        <v>0.61922547211652934</v>
      </c>
      <c r="E2520" s="47">
        <v>14713333</v>
      </c>
      <c r="F2520" s="48" t="str">
        <f>"PALM BEACH CENTRAL HIGH SCHOOL"</f>
        <v>PALM BEACH CENTRAL HIGH SCHOOL</v>
      </c>
      <c r="G2520" s="47"/>
      <c r="H2520" s="47"/>
      <c r="I2520" s="40">
        <v>1300</v>
      </c>
      <c r="J2520" s="40">
        <v>3010</v>
      </c>
      <c r="K2520" s="118"/>
      <c r="L2520" s="119"/>
      <c r="M2520" s="110">
        <f>IF(L2520="",I2520,(MIN(J2520,(L2520*1.6*J2520))))</f>
        <v>1300</v>
      </c>
      <c r="N2520" s="111">
        <f>IF(M2520=0,0,(M2520/J2520))</f>
        <v>0.43189368770764119</v>
      </c>
    </row>
    <row r="2521" spans="2:14">
      <c r="B2521" s="73">
        <v>127754</v>
      </c>
      <c r="C2521" s="23" t="str">
        <f>"PALMBEACH"</f>
        <v>PALMBEACH</v>
      </c>
      <c r="D2521" s="123">
        <f>SUMIF(B$3:B$3844,B2521,M$3:M$3844)/(SUMIF(B$3:B$3844,B2521,J$3:J$3844))</f>
        <v>0.61922547211652934</v>
      </c>
      <c r="E2521" s="23">
        <v>204608</v>
      </c>
      <c r="F2521" s="46" t="str">
        <f>"PALM BEACH COUNTY JAIL"</f>
        <v>PALM BEACH COUNTY JAIL</v>
      </c>
      <c r="G2521" s="23"/>
      <c r="H2521" s="23"/>
      <c r="I2521" s="41"/>
      <c r="J2521" s="41">
        <v>33</v>
      </c>
      <c r="K2521" s="118"/>
      <c r="L2521" s="119"/>
      <c r="M2521" s="110">
        <f>IF(L2521="",I2521,(MIN(J2521,(L2521*1.6*J2521))))</f>
        <v>0</v>
      </c>
      <c r="N2521" s="111">
        <f>IF(M2521=0,0,(M2521/J2521))</f>
        <v>0</v>
      </c>
    </row>
    <row r="2522" spans="2:14">
      <c r="B2522" s="72">
        <v>127754</v>
      </c>
      <c r="C2522" s="47" t="str">
        <f>"PALMBEACH"</f>
        <v>PALMBEACH</v>
      </c>
      <c r="D2522" s="123">
        <f>SUMIF(B$3:B$3844,B2522,M$3:M$3844)/(SUMIF(B$3:B$3844,B2522,J$3:J$3844))</f>
        <v>0.61922547211652934</v>
      </c>
      <c r="E2522" s="47">
        <v>37320</v>
      </c>
      <c r="F2522" s="48" t="s">
        <v>2228</v>
      </c>
      <c r="G2522" s="47"/>
      <c r="H2522" s="47"/>
      <c r="I2522" s="40">
        <v>406</v>
      </c>
      <c r="J2522" s="40">
        <v>739</v>
      </c>
      <c r="K2522" s="118"/>
      <c r="L2522" s="119"/>
      <c r="M2522" s="110">
        <f>IF(L2522="",I2522,(MIN(J2522,(L2522*1.6*J2522))))</f>
        <v>406</v>
      </c>
      <c r="N2522" s="111">
        <f>IF(M2522=0,0,(M2522/J2522))</f>
        <v>0.5493910690121786</v>
      </c>
    </row>
    <row r="2523" spans="2:14">
      <c r="B2523" s="73">
        <v>127754</v>
      </c>
      <c r="C2523" s="23" t="str">
        <f>"PALMBEACH"</f>
        <v>PALMBEACH</v>
      </c>
      <c r="D2523" s="123">
        <f>SUMIF(B$3:B$3844,B2523,M$3:M$3844)/(SUMIF(B$3:B$3844,B2523,J$3:J$3844))</f>
        <v>0.61922547211652934</v>
      </c>
      <c r="E2523" s="23">
        <v>37323</v>
      </c>
      <c r="F2523" s="46" t="str">
        <f>"PALM BEACH GARDENS HIGH SCHOOL"</f>
        <v>PALM BEACH GARDENS HIGH SCHOOL</v>
      </c>
      <c r="G2523" s="23"/>
      <c r="H2523" s="23"/>
      <c r="I2523" s="41">
        <v>1757</v>
      </c>
      <c r="J2523" s="41">
        <v>2657</v>
      </c>
      <c r="K2523" s="118"/>
      <c r="L2523" s="119"/>
      <c r="M2523" s="110">
        <f>IF(L2523="",I2523,(MIN(J2523,(L2523*1.6*J2523))))</f>
        <v>1757</v>
      </c>
      <c r="N2523" s="111">
        <f>IF(M2523=0,0,(M2523/J2523))</f>
        <v>0.6612721114038389</v>
      </c>
    </row>
    <row r="2524" spans="2:14">
      <c r="B2524" s="72">
        <v>127754</v>
      </c>
      <c r="C2524" s="47" t="str">
        <f>"PALMBEACH"</f>
        <v>PALMBEACH</v>
      </c>
      <c r="D2524" s="123">
        <f>SUMIF(B$3:B$3844,B2524,M$3:M$3844)/(SUMIF(B$3:B$3844,B2524,J$3:J$3844))</f>
        <v>0.61922547211652934</v>
      </c>
      <c r="E2524" s="47">
        <v>228372</v>
      </c>
      <c r="F2524" s="48" t="s">
        <v>2229</v>
      </c>
      <c r="G2524" s="47"/>
      <c r="H2524" s="47"/>
      <c r="I2524" s="40"/>
      <c r="J2524" s="40">
        <v>94</v>
      </c>
      <c r="K2524" s="118"/>
      <c r="L2524" s="119"/>
      <c r="M2524" s="110">
        <f>IF(L2524="",I2524,(MIN(J2524,(L2524*1.6*J2524))))</f>
        <v>0</v>
      </c>
      <c r="N2524" s="111">
        <f>IF(M2524=0,0,(M2524/J2524))</f>
        <v>0</v>
      </c>
    </row>
    <row r="2525" spans="2:14">
      <c r="B2525" s="73">
        <v>127754</v>
      </c>
      <c r="C2525" s="23" t="str">
        <f>"PALMBEACH"</f>
        <v>PALMBEACH</v>
      </c>
      <c r="D2525" s="123">
        <f>SUMIF(B$3:B$3844,B2525,M$3:M$3844)/(SUMIF(B$3:B$3844,B2525,J$3:J$3844))</f>
        <v>0.61922547211652934</v>
      </c>
      <c r="E2525" s="23">
        <v>37302</v>
      </c>
      <c r="F2525" s="46" t="str">
        <f>"PALM BEACH LAKES HIGH SCHOOL"</f>
        <v>PALM BEACH LAKES HIGH SCHOOL</v>
      </c>
      <c r="G2525" s="23"/>
      <c r="H2525" s="23"/>
      <c r="I2525" s="41">
        <v>1725</v>
      </c>
      <c r="J2525" s="41">
        <v>2153</v>
      </c>
      <c r="K2525" s="118"/>
      <c r="L2525" s="119"/>
      <c r="M2525" s="110">
        <f>IF(L2525="",I2525,(MIN(J2525,(L2525*1.6*J2525))))</f>
        <v>1725</v>
      </c>
      <c r="N2525" s="111">
        <f>IF(M2525=0,0,(M2525/J2525))</f>
        <v>0.80120761727821643</v>
      </c>
    </row>
    <row r="2526" spans="2:14">
      <c r="B2526" s="72">
        <v>127754</v>
      </c>
      <c r="C2526" s="47" t="str">
        <f>"PALMBEACH"</f>
        <v>PALMBEACH</v>
      </c>
      <c r="D2526" s="123">
        <f>SUMIF(B$3:B$3844,B2526,M$3:M$3844)/(SUMIF(B$3:B$3844,B2526,J$3:J$3844))</f>
        <v>0.61922547211652934</v>
      </c>
      <c r="E2526" s="47">
        <v>37499</v>
      </c>
      <c r="F2526" s="48" t="str">
        <f>"PALM BEACH PUBLIC SCHOOL"</f>
        <v>PALM BEACH PUBLIC SCHOOL</v>
      </c>
      <c r="G2526" s="47"/>
      <c r="H2526" s="47"/>
      <c r="I2526" s="40">
        <v>198</v>
      </c>
      <c r="J2526" s="40">
        <v>401</v>
      </c>
      <c r="K2526" s="118"/>
      <c r="L2526" s="119"/>
      <c r="M2526" s="110">
        <f>IF(L2526="",I2526,(MIN(J2526,(L2526*1.6*J2526))))</f>
        <v>198</v>
      </c>
      <c r="N2526" s="111">
        <f>IF(M2526=0,0,(M2526/J2526))</f>
        <v>0.49376558603491272</v>
      </c>
    </row>
    <row r="2527" spans="2:14">
      <c r="B2527" s="73">
        <v>127754</v>
      </c>
      <c r="C2527" s="23" t="str">
        <f>"PALMBEACH"</f>
        <v>PALMBEACH</v>
      </c>
      <c r="D2527" s="123">
        <f>SUMIF(B$3:B$3844,B2527,M$3:M$3844)/(SUMIF(B$3:B$3844,B2527,J$3:J$3844))</f>
        <v>0.61922547211652934</v>
      </c>
      <c r="E2527" s="23">
        <v>169316</v>
      </c>
      <c r="F2527" s="46" t="s">
        <v>2230</v>
      </c>
      <c r="G2527" s="23"/>
      <c r="H2527" s="23"/>
      <c r="I2527" s="41">
        <v>15</v>
      </c>
      <c r="J2527" s="41">
        <v>35</v>
      </c>
      <c r="K2527" s="118"/>
      <c r="L2527" s="119"/>
      <c r="M2527" s="110">
        <f>IF(L2527="",I2527,(MIN(J2527,(L2527*1.6*J2527))))</f>
        <v>15</v>
      </c>
      <c r="N2527" s="111">
        <f>IF(M2527=0,0,(M2527/J2527))</f>
        <v>0.42857142857142855</v>
      </c>
    </row>
    <row r="2528" spans="2:14">
      <c r="B2528" s="72">
        <v>127754</v>
      </c>
      <c r="C2528" s="47" t="str">
        <f>"PALMBEACH"</f>
        <v>PALMBEACH</v>
      </c>
      <c r="D2528" s="123">
        <f>SUMIF(B$3:B$3844,B2528,M$3:M$3844)/(SUMIF(B$3:B$3844,B2528,J$3:J$3844))</f>
        <v>0.61922547211652934</v>
      </c>
      <c r="E2528" s="47">
        <v>16025618</v>
      </c>
      <c r="F2528" s="48" t="str">
        <f>"PALM BEACH SCHOOL FOR AUTISM"</f>
        <v>PALM BEACH SCHOOL FOR AUTISM</v>
      </c>
      <c r="G2528" s="47"/>
      <c r="H2528" s="47"/>
      <c r="I2528" s="40">
        <v>152</v>
      </c>
      <c r="J2528" s="40">
        <v>277</v>
      </c>
      <c r="K2528" s="118"/>
      <c r="L2528" s="119"/>
      <c r="M2528" s="110">
        <f>IF(L2528="",I2528,(MIN(J2528,(L2528*1.6*J2528))))</f>
        <v>152</v>
      </c>
      <c r="N2528" s="111">
        <f>IF(M2528=0,0,(M2528/J2528))</f>
        <v>0.54873646209386284</v>
      </c>
    </row>
    <row r="2529" spans="2:14">
      <c r="B2529" s="73">
        <v>127754</v>
      </c>
      <c r="C2529" s="23" t="str">
        <f>"PALMBEACH"</f>
        <v>PALMBEACH</v>
      </c>
      <c r="D2529" s="123">
        <f>SUMIF(B$3:B$3844,B2529,M$3:M$3844)/(SUMIF(B$3:B$3844,B2529,J$3:J$3844))</f>
        <v>0.61922547211652934</v>
      </c>
      <c r="E2529" s="23">
        <v>37461</v>
      </c>
      <c r="F2529" s="46" t="str">
        <f>"PALM SPRINGS ELEMENTARY SCHOOL"</f>
        <v>PALM SPRINGS ELEMENTARY SCHOOL</v>
      </c>
      <c r="G2529" s="23"/>
      <c r="H2529" s="23"/>
      <c r="I2529" s="41">
        <v>772</v>
      </c>
      <c r="J2529" s="41">
        <v>831</v>
      </c>
      <c r="K2529" s="118"/>
      <c r="L2529" s="119"/>
      <c r="M2529" s="110">
        <f>IF(L2529="",I2529,(MIN(J2529,(L2529*1.6*J2529))))</f>
        <v>772</v>
      </c>
      <c r="N2529" s="111">
        <f>IF(M2529=0,0,(M2529/J2529))</f>
        <v>0.92900120336943437</v>
      </c>
    </row>
    <row r="2530" spans="2:14">
      <c r="B2530" s="72">
        <v>127754</v>
      </c>
      <c r="C2530" s="47" t="str">
        <f>"PALMBEACH"</f>
        <v>PALMBEACH</v>
      </c>
      <c r="D2530" s="123">
        <f>SUMIF(B$3:B$3844,B2530,M$3:M$3844)/(SUMIF(B$3:B$3844,B2530,J$3:J$3844))</f>
        <v>0.61922547211652934</v>
      </c>
      <c r="E2530" s="47">
        <v>37292</v>
      </c>
      <c r="F2530" s="48" t="str">
        <f>"PALM SPRINGS MIDDLE SCHOOL"</f>
        <v>PALM SPRINGS MIDDLE SCHOOL</v>
      </c>
      <c r="G2530" s="47"/>
      <c r="H2530" s="47"/>
      <c r="I2530" s="40">
        <v>1261</v>
      </c>
      <c r="J2530" s="40">
        <v>1473</v>
      </c>
      <c r="K2530" s="118"/>
      <c r="L2530" s="119"/>
      <c r="M2530" s="110">
        <f>IF(L2530="",I2530,(MIN(J2530,(L2530*1.6*J2530))))</f>
        <v>1261</v>
      </c>
      <c r="N2530" s="111">
        <f>IF(M2530=0,0,(M2530/J2530))</f>
        <v>0.85607603530210452</v>
      </c>
    </row>
    <row r="2531" spans="2:14">
      <c r="B2531" s="73">
        <v>127754</v>
      </c>
      <c r="C2531" s="23" t="str">
        <f>"PALMBEACH"</f>
        <v>PALMBEACH</v>
      </c>
      <c r="D2531" s="123">
        <f>SUMIF(B$3:B$3844,B2531,M$3:M$3844)/(SUMIF(B$3:B$3844,B2531,J$3:J$3844))</f>
        <v>0.61922547211652934</v>
      </c>
      <c r="E2531" s="23">
        <v>37287</v>
      </c>
      <c r="F2531" s="46" t="str">
        <f>"PALMETTO ELEMENTARY SCHOOL"</f>
        <v>PALMETTO ELEMENTARY SCHOOL</v>
      </c>
      <c r="G2531" s="23"/>
      <c r="H2531" s="23"/>
      <c r="I2531" s="41">
        <v>515</v>
      </c>
      <c r="J2531" s="41">
        <v>534</v>
      </c>
      <c r="K2531" s="118"/>
      <c r="L2531" s="119"/>
      <c r="M2531" s="110">
        <f>IF(L2531="",I2531,(MIN(J2531,(L2531*1.6*J2531))))</f>
        <v>515</v>
      </c>
      <c r="N2531" s="111">
        <f>IF(M2531=0,0,(M2531/J2531))</f>
        <v>0.96441947565543074</v>
      </c>
    </row>
    <row r="2532" spans="2:14">
      <c r="B2532" s="72">
        <v>127754</v>
      </c>
      <c r="C2532" s="47" t="str">
        <f>"PALMBEACH"</f>
        <v>PALMBEACH</v>
      </c>
      <c r="D2532" s="123">
        <f>SUMIF(B$3:B$3844,B2532,M$3:M$3844)/(SUMIF(B$3:B$3844,B2532,J$3:J$3844))</f>
        <v>0.61922547211652934</v>
      </c>
      <c r="E2532" s="47">
        <v>37483</v>
      </c>
      <c r="F2532" s="48" t="str">
        <f>"PANTHER RUN ELEMENTARY SCHOOL"</f>
        <v>PANTHER RUN ELEMENTARY SCHOOL</v>
      </c>
      <c r="G2532" s="47"/>
      <c r="H2532" s="47"/>
      <c r="I2532" s="40">
        <v>172</v>
      </c>
      <c r="J2532" s="40">
        <v>781</v>
      </c>
      <c r="K2532" s="118"/>
      <c r="L2532" s="119"/>
      <c r="M2532" s="110">
        <f>IF(L2532="",I2532,(MIN(J2532,(L2532*1.6*J2532))))</f>
        <v>172</v>
      </c>
      <c r="N2532" s="111">
        <f>IF(M2532=0,0,(M2532/J2532))</f>
        <v>0.22023047375160051</v>
      </c>
    </row>
    <row r="2533" spans="2:14">
      <c r="B2533" s="73">
        <v>127754</v>
      </c>
      <c r="C2533" s="23" t="str">
        <f>"PALMBEACH"</f>
        <v>PALMBEACH</v>
      </c>
      <c r="D2533" s="123">
        <f>SUMIF(B$3:B$3844,B2533,M$3:M$3844)/(SUMIF(B$3:B$3844,B2533,J$3:J$3844))</f>
        <v>0.61922547211652934</v>
      </c>
      <c r="E2533" s="23">
        <v>16025586</v>
      </c>
      <c r="F2533" s="46" t="s">
        <v>2231</v>
      </c>
      <c r="G2533" s="23"/>
      <c r="H2533" s="23"/>
      <c r="I2533" s="41">
        <v>1066</v>
      </c>
      <c r="J2533" s="41">
        <v>3034</v>
      </c>
      <c r="K2533" s="118"/>
      <c r="L2533" s="119"/>
      <c r="M2533" s="110">
        <f>IF(L2533="",I2533,(MIN(J2533,(L2533*1.6*J2533))))</f>
        <v>1066</v>
      </c>
      <c r="N2533" s="111">
        <f>IF(M2533=0,0,(M2533/J2533))</f>
        <v>0.35135135135135137</v>
      </c>
    </row>
    <row r="2534" spans="2:14">
      <c r="B2534" s="72">
        <v>127754</v>
      </c>
      <c r="C2534" s="47" t="str">
        <f>"PALMBEACH"</f>
        <v>PALMBEACH</v>
      </c>
      <c r="D2534" s="123">
        <f>SUMIF(B$3:B$3844,B2534,M$3:M$3844)/(SUMIF(B$3:B$3844,B2534,J$3:J$3844))</f>
        <v>0.61922547211652934</v>
      </c>
      <c r="E2534" s="47">
        <v>16051707</v>
      </c>
      <c r="F2534" s="48" t="s">
        <v>2232</v>
      </c>
      <c r="G2534" s="47"/>
      <c r="H2534" s="47"/>
      <c r="I2534" s="40"/>
      <c r="J2534" s="40">
        <v>0</v>
      </c>
      <c r="K2534" s="118"/>
      <c r="L2534" s="119"/>
      <c r="M2534" s="110">
        <f>IF(L2534="",I2534,(MIN(J2534,(L2534*1.6*J2534))))</f>
        <v>0</v>
      </c>
      <c r="N2534" s="111">
        <f>IF(M2534=0,0,(M2534/J2534))</f>
        <v>0</v>
      </c>
    </row>
    <row r="2535" spans="2:14">
      <c r="B2535" s="73">
        <v>127754</v>
      </c>
      <c r="C2535" s="23" t="str">
        <f>"PALMBEACH"</f>
        <v>PALMBEACH</v>
      </c>
      <c r="D2535" s="123">
        <f>SUMIF(B$3:B$3844,B2535,M$3:M$3844)/(SUMIF(B$3:B$3844,B2535,J$3:J$3844))</f>
        <v>0.61922547211652934</v>
      </c>
      <c r="E2535" s="23">
        <v>16025587</v>
      </c>
      <c r="F2535" s="46" t="s">
        <v>2233</v>
      </c>
      <c r="G2535" s="23"/>
      <c r="H2535" s="23"/>
      <c r="I2535" s="41">
        <v>210</v>
      </c>
      <c r="J2535" s="41">
        <v>497</v>
      </c>
      <c r="K2535" s="118"/>
      <c r="L2535" s="119"/>
      <c r="M2535" s="110">
        <f>IF(L2535="",I2535,(MIN(J2535,(L2535*1.6*J2535))))</f>
        <v>210</v>
      </c>
      <c r="N2535" s="111">
        <f>IF(M2535=0,0,(M2535/J2535))</f>
        <v>0.42253521126760563</v>
      </c>
    </row>
    <row r="2536" spans="2:14">
      <c r="B2536" s="72">
        <v>127754</v>
      </c>
      <c r="C2536" s="47" t="str">
        <f>"PALMBEACH"</f>
        <v>PALMBEACH</v>
      </c>
      <c r="D2536" s="123">
        <f>SUMIF(B$3:B$3844,B2536,M$3:M$3844)/(SUMIF(B$3:B$3844,B2536,J$3:J$3844))</f>
        <v>0.61922547211652934</v>
      </c>
      <c r="E2536" s="47">
        <v>37428</v>
      </c>
      <c r="F2536" s="48" t="str">
        <f>"PINE GROVE ELEMENTARY SCHOOL"</f>
        <v>PINE GROVE ELEMENTARY SCHOOL</v>
      </c>
      <c r="G2536" s="47"/>
      <c r="H2536" s="47"/>
      <c r="I2536" s="40">
        <v>424</v>
      </c>
      <c r="J2536" s="40">
        <v>437</v>
      </c>
      <c r="K2536" s="118"/>
      <c r="L2536" s="119"/>
      <c r="M2536" s="110">
        <f>IF(L2536="",I2536,(MIN(J2536,(L2536*1.6*J2536))))</f>
        <v>424</v>
      </c>
      <c r="N2536" s="111">
        <f>IF(M2536=0,0,(M2536/J2536))</f>
        <v>0.97025171624713957</v>
      </c>
    </row>
    <row r="2537" spans="2:14">
      <c r="B2537" s="73">
        <v>127754</v>
      </c>
      <c r="C2537" s="23" t="str">
        <f>"PALMBEACH"</f>
        <v>PALMBEACH</v>
      </c>
      <c r="D2537" s="123">
        <f>SUMIF(B$3:B$3844,B2537,M$3:M$3844)/(SUMIF(B$3:B$3844,B2537,J$3:J$3844))</f>
        <v>0.61922547211652934</v>
      </c>
      <c r="E2537" s="23">
        <v>16046932</v>
      </c>
      <c r="F2537" s="46" t="str">
        <f>"PINE JOG ELEMENTARY SCHOOL"</f>
        <v>PINE JOG ELEMENTARY SCHOOL</v>
      </c>
      <c r="G2537" s="23"/>
      <c r="H2537" s="23"/>
      <c r="I2537" s="41">
        <v>733</v>
      </c>
      <c r="J2537" s="41">
        <v>945</v>
      </c>
      <c r="K2537" s="118"/>
      <c r="L2537" s="119"/>
      <c r="M2537" s="110">
        <f>IF(L2537="",I2537,(MIN(J2537,(L2537*1.6*J2537))))</f>
        <v>733</v>
      </c>
      <c r="N2537" s="111">
        <f>IF(M2537=0,0,(M2537/J2537))</f>
        <v>0.77566137566137561</v>
      </c>
    </row>
    <row r="2538" spans="2:14">
      <c r="B2538" s="72">
        <v>127754</v>
      </c>
      <c r="C2538" s="47" t="str">
        <f>"PALMBEACH"</f>
        <v>PALMBEACH</v>
      </c>
      <c r="D2538" s="123">
        <f>SUMIF(B$3:B$3844,B2538,M$3:M$3844)/(SUMIF(B$3:B$3844,B2538,J$3:J$3844))</f>
        <v>0.61922547211652934</v>
      </c>
      <c r="E2538" s="47">
        <v>37361</v>
      </c>
      <c r="F2538" s="48" t="str">
        <f>"PIONEER PARK ELEMENTARY SCHOOL"</f>
        <v>PIONEER PARK ELEMENTARY SCHOOL</v>
      </c>
      <c r="G2538" s="47"/>
      <c r="H2538" s="47"/>
      <c r="I2538" s="40">
        <v>324</v>
      </c>
      <c r="J2538" s="40">
        <v>326</v>
      </c>
      <c r="K2538" s="118"/>
      <c r="L2538" s="119"/>
      <c r="M2538" s="110">
        <f>IF(L2538="",I2538,(MIN(J2538,(L2538*1.6*J2538))))</f>
        <v>324</v>
      </c>
      <c r="N2538" s="111">
        <f>IF(M2538=0,0,(M2538/J2538))</f>
        <v>0.99386503067484666</v>
      </c>
    </row>
    <row r="2539" spans="2:14">
      <c r="B2539" s="73">
        <v>127754</v>
      </c>
      <c r="C2539" s="23" t="str">
        <f>"PALMBEACH"</f>
        <v>PALMBEACH</v>
      </c>
      <c r="D2539" s="123">
        <f>SUMIF(B$3:B$3844,B2539,M$3:M$3844)/(SUMIF(B$3:B$3844,B2539,J$3:J$3844))</f>
        <v>0.61922547211652934</v>
      </c>
      <c r="E2539" s="23">
        <v>232859</v>
      </c>
      <c r="F2539" s="46" t="s">
        <v>2234</v>
      </c>
      <c r="G2539" s="23"/>
      <c r="H2539" s="23"/>
      <c r="I2539" s="41">
        <v>353</v>
      </c>
      <c r="J2539" s="41">
        <v>358</v>
      </c>
      <c r="K2539" s="118"/>
      <c r="L2539" s="119"/>
      <c r="M2539" s="110">
        <f>IF(L2539="",I2539,(MIN(J2539,(L2539*1.6*J2539))))</f>
        <v>353</v>
      </c>
      <c r="N2539" s="111">
        <f>IF(M2539=0,0,(M2539/J2539))</f>
        <v>0.98603351955307261</v>
      </c>
    </row>
    <row r="2540" spans="2:14">
      <c r="B2540" s="72">
        <v>127754</v>
      </c>
      <c r="C2540" s="47" t="str">
        <f>"PALMBEACH"</f>
        <v>PALMBEACH</v>
      </c>
      <c r="D2540" s="123">
        <f>SUMIF(B$3:B$3844,B2540,M$3:M$3844)/(SUMIF(B$3:B$3844,B2540,J$3:J$3844))</f>
        <v>0.61922547211652934</v>
      </c>
      <c r="E2540" s="47">
        <v>37431</v>
      </c>
      <c r="F2540" s="48" t="str">
        <f>"PLUMOSA SCHOOL OF THE ARTS"</f>
        <v>PLUMOSA SCHOOL OF THE ARTS</v>
      </c>
      <c r="G2540" s="47"/>
      <c r="H2540" s="47"/>
      <c r="I2540" s="40">
        <v>495</v>
      </c>
      <c r="J2540" s="40">
        <v>627</v>
      </c>
      <c r="K2540" s="118"/>
      <c r="L2540" s="119"/>
      <c r="M2540" s="110">
        <f>IF(L2540="",I2540,(MIN(J2540,(L2540*1.6*J2540))))</f>
        <v>495</v>
      </c>
      <c r="N2540" s="111">
        <f>IF(M2540=0,0,(M2540/J2540))</f>
        <v>0.78947368421052633</v>
      </c>
    </row>
    <row r="2541" spans="2:14">
      <c r="B2541" s="73">
        <v>127754</v>
      </c>
      <c r="C2541" s="23" t="str">
        <f>"PALMBEACH"</f>
        <v>PALMBEACH</v>
      </c>
      <c r="D2541" s="123">
        <f>SUMIF(B$3:B$3844,B2541,M$3:M$3844)/(SUMIF(B$3:B$3844,B2541,J$3:J$3844))</f>
        <v>0.61922547211652934</v>
      </c>
      <c r="E2541" s="23">
        <v>37393</v>
      </c>
      <c r="F2541" s="46" t="str">
        <f>"POINCIANA ELEMENTARY SCHOOL"</f>
        <v>POINCIANA ELEMENTARY SCHOOL</v>
      </c>
      <c r="G2541" s="23"/>
      <c r="H2541" s="23"/>
      <c r="I2541" s="41">
        <v>367</v>
      </c>
      <c r="J2541" s="41">
        <v>570</v>
      </c>
      <c r="K2541" s="118"/>
      <c r="L2541" s="119"/>
      <c r="M2541" s="110">
        <f>IF(L2541="",I2541,(MIN(J2541,(L2541*1.6*J2541))))</f>
        <v>367</v>
      </c>
      <c r="N2541" s="111">
        <f>IF(M2541=0,0,(M2541/J2541))</f>
        <v>0.64385964912280702</v>
      </c>
    </row>
    <row r="2542" spans="2:14">
      <c r="B2542" s="72">
        <v>127754</v>
      </c>
      <c r="C2542" s="47" t="str">
        <f>"PALMBEACH"</f>
        <v>PALMBEACH</v>
      </c>
      <c r="D2542" s="123">
        <f>SUMIF(B$3:B$3844,B2542,M$3:M$3844)/(SUMIF(B$3:B$3844,B2542,J$3:J$3844))</f>
        <v>0.61922547211652934</v>
      </c>
      <c r="E2542" s="47">
        <v>220932</v>
      </c>
      <c r="F2542" s="48" t="str">
        <f>"POLO PARK MIDDLE SCHOOL"</f>
        <v>POLO PARK MIDDLE SCHOOL</v>
      </c>
      <c r="G2542" s="47"/>
      <c r="H2542" s="47"/>
      <c r="I2542" s="40">
        <v>351</v>
      </c>
      <c r="J2542" s="40">
        <v>860</v>
      </c>
      <c r="K2542" s="118"/>
      <c r="L2542" s="119"/>
      <c r="M2542" s="110">
        <f>IF(L2542="",I2542,(MIN(J2542,(L2542*1.6*J2542))))</f>
        <v>351</v>
      </c>
      <c r="N2542" s="111">
        <f>IF(M2542=0,0,(M2542/J2542))</f>
        <v>0.40813953488372096</v>
      </c>
    </row>
    <row r="2543" spans="2:14">
      <c r="B2543" s="73">
        <v>127754</v>
      </c>
      <c r="C2543" s="23" t="str">
        <f>"PALMBEACH"</f>
        <v>PALMBEACH</v>
      </c>
      <c r="D2543" s="123">
        <f>SUMIF(B$3:B$3844,B2543,M$3:M$3844)/(SUMIF(B$3:B$3844,B2543,J$3:J$3844))</f>
        <v>0.61922547211652934</v>
      </c>
      <c r="E2543" s="23">
        <v>37392</v>
      </c>
      <c r="F2543" s="46" t="s">
        <v>2235</v>
      </c>
      <c r="G2543" s="23"/>
      <c r="H2543" s="23"/>
      <c r="I2543" s="41">
        <v>832</v>
      </c>
      <c r="J2543" s="41">
        <v>854</v>
      </c>
      <c r="K2543" s="118"/>
      <c r="L2543" s="119"/>
      <c r="M2543" s="110">
        <f>IF(L2543="",I2543,(MIN(J2543,(L2543*1.6*J2543))))</f>
        <v>832</v>
      </c>
      <c r="N2543" s="111">
        <f>IF(M2543=0,0,(M2543/J2543))</f>
        <v>0.97423887587822011</v>
      </c>
    </row>
    <row r="2544" spans="2:14">
      <c r="B2544" s="72">
        <v>127754</v>
      </c>
      <c r="C2544" s="47" t="str">
        <f>"PALMBEACH"</f>
        <v>PALMBEACH</v>
      </c>
      <c r="D2544" s="123">
        <f>SUMIF(B$3:B$3844,B2544,M$3:M$3844)/(SUMIF(B$3:B$3844,B2544,J$3:J$3844))</f>
        <v>0.61922547211652934</v>
      </c>
      <c r="E2544" s="47">
        <v>37257</v>
      </c>
      <c r="F2544" s="48" t="str">
        <f>"ROOSEVELT ELEMENTARY SCHOOL"</f>
        <v>ROOSEVELT ELEMENTARY SCHOOL</v>
      </c>
      <c r="G2544" s="47"/>
      <c r="H2544" s="47"/>
      <c r="I2544" s="40">
        <v>431</v>
      </c>
      <c r="J2544" s="40">
        <v>445</v>
      </c>
      <c r="K2544" s="118"/>
      <c r="L2544" s="119"/>
      <c r="M2544" s="110">
        <f>IF(L2544="",I2544,(MIN(J2544,(L2544*1.6*J2544))))</f>
        <v>431</v>
      </c>
      <c r="N2544" s="111">
        <f>IF(M2544=0,0,(M2544/J2544))</f>
        <v>0.96853932584269664</v>
      </c>
    </row>
    <row r="2545" spans="2:14">
      <c r="B2545" s="73">
        <v>127754</v>
      </c>
      <c r="C2545" s="23" t="str">
        <f>"PALMBEACH"</f>
        <v>PALMBEACH</v>
      </c>
      <c r="D2545" s="123">
        <f>SUMIF(B$3:B$3844,B2545,M$3:M$3844)/(SUMIF(B$3:B$3844,B2545,J$3:J$3844))</f>
        <v>0.61922547211652934</v>
      </c>
      <c r="E2545" s="23">
        <v>16083780</v>
      </c>
      <c r="F2545" s="46" t="str">
        <f>"ROOSEVELT FULL SERVICE"</f>
        <v>ROOSEVELT FULL SERVICE</v>
      </c>
      <c r="G2545" s="23"/>
      <c r="H2545" s="23"/>
      <c r="I2545" s="41"/>
      <c r="J2545" s="41">
        <v>0</v>
      </c>
      <c r="K2545" s="118"/>
      <c r="L2545" s="119"/>
      <c r="M2545" s="110">
        <f>IF(L2545="",I2545,(MIN(J2545,(L2545*1.6*J2545))))</f>
        <v>0</v>
      </c>
      <c r="N2545" s="111">
        <f>IF(M2545=0,0,(M2545/J2545))</f>
        <v>0</v>
      </c>
    </row>
    <row r="2546" spans="2:14">
      <c r="B2546" s="72">
        <v>127754</v>
      </c>
      <c r="C2546" s="47" t="str">
        <f>"PALMBEACH"</f>
        <v>PALMBEACH</v>
      </c>
      <c r="D2546" s="123">
        <f>SUMIF(B$3:B$3844,B2546,M$3:M$3844)/(SUMIF(B$3:B$3844,B2546,J$3:J$3844))</f>
        <v>0.61922547211652934</v>
      </c>
      <c r="E2546" s="47">
        <v>37300</v>
      </c>
      <c r="F2546" s="48" t="str">
        <f>"ROOSEVELT MIDDLE SCHOOL"</f>
        <v>ROOSEVELT MIDDLE SCHOOL</v>
      </c>
      <c r="G2546" s="47"/>
      <c r="H2546" s="47"/>
      <c r="I2546" s="40">
        <v>834</v>
      </c>
      <c r="J2546" s="40">
        <v>963</v>
      </c>
      <c r="K2546" s="118"/>
      <c r="L2546" s="119"/>
      <c r="M2546" s="110">
        <f>IF(L2546="",I2546,(MIN(J2546,(L2546*1.6*J2546))))</f>
        <v>834</v>
      </c>
      <c r="N2546" s="111">
        <f>IF(M2546=0,0,(M2546/J2546))</f>
        <v>0.86604361370716509</v>
      </c>
    </row>
    <row r="2547" spans="2:14">
      <c r="B2547" s="73">
        <v>127754</v>
      </c>
      <c r="C2547" s="23" t="str">
        <f>"PALMBEACH"</f>
        <v>PALMBEACH</v>
      </c>
      <c r="D2547" s="123">
        <f>SUMIF(B$3:B$3844,B2547,M$3:M$3844)/(SUMIF(B$3:B$3844,B2547,J$3:J$3844))</f>
        <v>0.61922547211652934</v>
      </c>
      <c r="E2547" s="23">
        <v>37509</v>
      </c>
      <c r="F2547" s="46" t="str">
        <f>"ROSENWALD ELEMENTARY SCHOOL"</f>
        <v>ROSENWALD ELEMENTARY SCHOOL</v>
      </c>
      <c r="G2547" s="23"/>
      <c r="H2547" s="23"/>
      <c r="I2547" s="41">
        <v>237</v>
      </c>
      <c r="J2547" s="41">
        <v>241</v>
      </c>
      <c r="K2547" s="118"/>
      <c r="L2547" s="119"/>
      <c r="M2547" s="110">
        <f>IF(L2547="",I2547,(MIN(J2547,(L2547*1.6*J2547))))</f>
        <v>237</v>
      </c>
      <c r="N2547" s="111">
        <f>IF(M2547=0,0,(M2547/J2547))</f>
        <v>0.98340248962655596</v>
      </c>
    </row>
    <row r="2548" spans="2:14">
      <c r="B2548" s="72">
        <v>127754</v>
      </c>
      <c r="C2548" s="47" t="str">
        <f>"PALMBEACH"</f>
        <v>PALMBEACH</v>
      </c>
      <c r="D2548" s="123">
        <f>SUMIF(B$3:B$3844,B2548,M$3:M$3844)/(SUMIF(B$3:B$3844,B2548,J$3:J$3844))</f>
        <v>0.61922547211652934</v>
      </c>
      <c r="E2548" s="47">
        <v>232860</v>
      </c>
      <c r="F2548" s="48" t="s">
        <v>2236</v>
      </c>
      <c r="G2548" s="47"/>
      <c r="H2548" s="47"/>
      <c r="I2548" s="40">
        <v>321</v>
      </c>
      <c r="J2548" s="40">
        <v>615</v>
      </c>
      <c r="K2548" s="118"/>
      <c r="L2548" s="119"/>
      <c r="M2548" s="110">
        <f>IF(L2548="",I2548,(MIN(J2548,(L2548*1.6*J2548))))</f>
        <v>321</v>
      </c>
      <c r="N2548" s="111">
        <f>IF(M2548=0,0,(M2548/J2548))</f>
        <v>0.52195121951219514</v>
      </c>
    </row>
    <row r="2549" spans="2:14">
      <c r="B2549" s="73">
        <v>127754</v>
      </c>
      <c r="C2549" s="23" t="str">
        <f>"PALMBEACH"</f>
        <v>PALMBEACH</v>
      </c>
      <c r="D2549" s="123">
        <f>SUMIF(B$3:B$3844,B2549,M$3:M$3844)/(SUMIF(B$3:B$3844,B2549,J$3:J$3844))</f>
        <v>0.61922547211652934</v>
      </c>
      <c r="E2549" s="23">
        <v>37325</v>
      </c>
      <c r="F2549" s="46" t="str">
        <f>"ROYAL PALM BEACH HIGH SCHOOL"</f>
        <v>ROYAL PALM BEACH HIGH SCHOOL</v>
      </c>
      <c r="G2549" s="23"/>
      <c r="H2549" s="23"/>
      <c r="I2549" s="41">
        <v>1499</v>
      </c>
      <c r="J2549" s="41">
        <v>2230</v>
      </c>
      <c r="K2549" s="118"/>
      <c r="L2549" s="119"/>
      <c r="M2549" s="110">
        <f>IF(L2549="",I2549,(MIN(J2549,(L2549*1.6*J2549))))</f>
        <v>1499</v>
      </c>
      <c r="N2549" s="111">
        <f>IF(M2549=0,0,(M2549/J2549))</f>
        <v>0.67219730941704037</v>
      </c>
    </row>
    <row r="2550" spans="2:14">
      <c r="B2550" s="72">
        <v>127754</v>
      </c>
      <c r="C2550" s="47" t="str">
        <f>"PALMBEACH"</f>
        <v>PALMBEACH</v>
      </c>
      <c r="D2550" s="123">
        <f>SUMIF(B$3:B$3844,B2550,M$3:M$3844)/(SUMIF(B$3:B$3844,B2550,J$3:J$3844))</f>
        <v>0.61922547211652934</v>
      </c>
      <c r="E2550" s="47">
        <v>37472</v>
      </c>
      <c r="F2550" s="48" t="s">
        <v>2237</v>
      </c>
      <c r="G2550" s="47"/>
      <c r="H2550" s="47"/>
      <c r="I2550" s="40"/>
      <c r="J2550" s="40">
        <v>410</v>
      </c>
      <c r="K2550" s="118"/>
      <c r="L2550" s="119"/>
      <c r="M2550" s="110">
        <f>IF(L2550="",I2550,(MIN(J2550,(L2550*1.6*J2550))))</f>
        <v>0</v>
      </c>
      <c r="N2550" s="111">
        <f>IF(M2550=0,0,(M2550/J2550))</f>
        <v>0</v>
      </c>
    </row>
    <row r="2551" spans="2:14">
      <c r="B2551" s="73">
        <v>127754</v>
      </c>
      <c r="C2551" s="23" t="str">
        <f>"PALMBEACH"</f>
        <v>PALMBEACH</v>
      </c>
      <c r="D2551" s="123">
        <f>SUMIF(B$3:B$3844,B2551,M$3:M$3844)/(SUMIF(B$3:B$3844,B2551,J$3:J$3844))</f>
        <v>0.61922547211652934</v>
      </c>
      <c r="E2551" s="23">
        <v>37427</v>
      </c>
      <c r="F2551" s="46" t="str">
        <f>"S. D. SPADY ELEMENTARY SCHOOL"</f>
        <v>S. D. SPADY ELEMENTARY SCHOOL</v>
      </c>
      <c r="G2551" s="23"/>
      <c r="H2551" s="23"/>
      <c r="I2551" s="41">
        <v>326</v>
      </c>
      <c r="J2551" s="41">
        <v>648</v>
      </c>
      <c r="K2551" s="118"/>
      <c r="L2551" s="119"/>
      <c r="M2551" s="110">
        <f>IF(L2551="",I2551,(MIN(J2551,(L2551*1.6*J2551))))</f>
        <v>326</v>
      </c>
      <c r="N2551" s="111">
        <f>IF(M2551=0,0,(M2551/J2551))</f>
        <v>0.50308641975308643</v>
      </c>
    </row>
    <row r="2552" spans="2:14">
      <c r="B2552" s="72">
        <v>127754</v>
      </c>
      <c r="C2552" s="47" t="str">
        <f>"PALMBEACH"</f>
        <v>PALMBEACH</v>
      </c>
      <c r="D2552" s="123">
        <f>SUMIF(B$3:B$3844,B2552,M$3:M$3844)/(SUMIF(B$3:B$3844,B2552,J$3:J$3844))</f>
        <v>0.61922547211652934</v>
      </c>
      <c r="E2552" s="47">
        <v>37515</v>
      </c>
      <c r="F2552" s="48" t="s">
        <v>2238</v>
      </c>
      <c r="G2552" s="47"/>
      <c r="H2552" s="47"/>
      <c r="I2552" s="40">
        <v>412</v>
      </c>
      <c r="J2552" s="40">
        <v>916</v>
      </c>
      <c r="K2552" s="118"/>
      <c r="L2552" s="119"/>
      <c r="M2552" s="110">
        <f>IF(L2552="",I2552,(MIN(J2552,(L2552*1.6*J2552))))</f>
        <v>412</v>
      </c>
      <c r="N2552" s="111">
        <f>IF(M2552=0,0,(M2552/J2552))</f>
        <v>0.44978165938864628</v>
      </c>
    </row>
    <row r="2553" spans="2:14">
      <c r="B2553" s="73">
        <v>127754</v>
      </c>
      <c r="C2553" s="23" t="str">
        <f>"PALMBEACH"</f>
        <v>PALMBEACH</v>
      </c>
      <c r="D2553" s="123">
        <f>SUMIF(B$3:B$3844,B2553,M$3:M$3844)/(SUMIF(B$3:B$3844,B2553,J$3:J$3844))</f>
        <v>0.61922547211652934</v>
      </c>
      <c r="E2553" s="23">
        <v>37471</v>
      </c>
      <c r="F2553" s="46" t="str">
        <f>"SANTALUCES COMMUNITY HIGH"</f>
        <v>SANTALUCES COMMUNITY HIGH</v>
      </c>
      <c r="G2553" s="23"/>
      <c r="H2553" s="23"/>
      <c r="I2553" s="41">
        <v>1752</v>
      </c>
      <c r="J2553" s="41">
        <v>2400</v>
      </c>
      <c r="K2553" s="118"/>
      <c r="L2553" s="119"/>
      <c r="M2553" s="110">
        <f>IF(L2553="",I2553,(MIN(J2553,(L2553*1.6*J2553))))</f>
        <v>1752</v>
      </c>
      <c r="N2553" s="111">
        <f>IF(M2553=0,0,(M2553/J2553))</f>
        <v>0.73</v>
      </c>
    </row>
    <row r="2554" spans="2:14">
      <c r="B2554" s="72">
        <v>127754</v>
      </c>
      <c r="C2554" s="47" t="str">
        <f>"PALMBEACH"</f>
        <v>PALMBEACH</v>
      </c>
      <c r="D2554" s="123">
        <f>SUMIF(B$3:B$3844,B2554,M$3:M$3844)/(SUMIF(B$3:B$3844,B2554,J$3:J$3844))</f>
        <v>0.61922547211652934</v>
      </c>
      <c r="E2554" s="47">
        <v>16025597</v>
      </c>
      <c r="F2554" s="48" t="str">
        <f>"SCHOOL FOOD SERVICES"</f>
        <v>SCHOOL FOOD SERVICES</v>
      </c>
      <c r="G2554" s="47"/>
      <c r="H2554" s="47"/>
      <c r="I2554" s="40"/>
      <c r="J2554" s="40">
        <v>0</v>
      </c>
      <c r="K2554" s="118"/>
      <c r="L2554" s="119"/>
      <c r="M2554" s="110">
        <f>IF(L2554="",I2554,(MIN(J2554,(L2554*1.6*J2554))))</f>
        <v>0</v>
      </c>
      <c r="N2554" s="111">
        <f>IF(M2554=0,0,(M2554/J2554))</f>
        <v>0</v>
      </c>
    </row>
    <row r="2555" spans="2:14">
      <c r="B2555" s="73">
        <v>127754</v>
      </c>
      <c r="C2555" s="23" t="str">
        <f>"PALMBEACH"</f>
        <v>PALMBEACH</v>
      </c>
      <c r="D2555" s="123">
        <f>SUMIF(B$3:B$3844,B2555,M$3:M$3844)/(SUMIF(B$3:B$3844,B2555,J$3:J$3844))</f>
        <v>0.61922547211652934</v>
      </c>
      <c r="E2555" s="23">
        <v>16025602</v>
      </c>
      <c r="F2555" s="46" t="str">
        <f>"SEACREST ATHLETIC FACILITY"</f>
        <v>SEACREST ATHLETIC FACILITY</v>
      </c>
      <c r="G2555" s="23"/>
      <c r="H2555" s="23"/>
      <c r="I2555" s="41"/>
      <c r="J2555" s="41">
        <v>0</v>
      </c>
      <c r="K2555" s="118"/>
      <c r="L2555" s="119"/>
      <c r="M2555" s="110">
        <f>IF(L2555="",I2555,(MIN(J2555,(L2555*1.6*J2555))))</f>
        <v>0</v>
      </c>
      <c r="N2555" s="111">
        <f>IF(M2555=0,0,(M2555/J2555))</f>
        <v>0</v>
      </c>
    </row>
    <row r="2556" spans="2:14">
      <c r="B2556" s="72">
        <v>127754</v>
      </c>
      <c r="C2556" s="47" t="str">
        <f>"PALMBEACH"</f>
        <v>PALMBEACH</v>
      </c>
      <c r="D2556" s="123">
        <f>SUMIF(B$3:B$3844,B2556,M$3:M$3844)/(SUMIF(B$3:B$3844,B2556,J$3:J$3844))</f>
        <v>0.61922547211652934</v>
      </c>
      <c r="E2556" s="47">
        <v>16026756</v>
      </c>
      <c r="F2556" s="48" t="s">
        <v>2239</v>
      </c>
      <c r="G2556" s="47"/>
      <c r="H2556" s="47"/>
      <c r="I2556" s="40">
        <v>960</v>
      </c>
      <c r="J2556" s="40">
        <v>2278</v>
      </c>
      <c r="K2556" s="118"/>
      <c r="L2556" s="119"/>
      <c r="M2556" s="110">
        <f>IF(L2556="",I2556,(MIN(J2556,(L2556*1.6*J2556))))</f>
        <v>960</v>
      </c>
      <c r="N2556" s="111">
        <f>IF(M2556=0,0,(M2556/J2556))</f>
        <v>0.42142230026338895</v>
      </c>
    </row>
    <row r="2557" spans="2:14">
      <c r="B2557" s="73">
        <v>127754</v>
      </c>
      <c r="C2557" s="23" t="str">
        <f>"PALMBEACH"</f>
        <v>PALMBEACH</v>
      </c>
      <c r="D2557" s="123">
        <f>SUMIF(B$3:B$3844,B2557,M$3:M$3844)/(SUMIF(B$3:B$3844,B2557,J$3:J$3844))</f>
        <v>0.61922547211652934</v>
      </c>
      <c r="E2557" s="23">
        <v>37352</v>
      </c>
      <c r="F2557" s="46" t="s">
        <v>2240</v>
      </c>
      <c r="G2557" s="23"/>
      <c r="H2557" s="23"/>
      <c r="I2557" s="41">
        <v>674</v>
      </c>
      <c r="J2557" s="41">
        <v>834</v>
      </c>
      <c r="K2557" s="118"/>
      <c r="L2557" s="119"/>
      <c r="M2557" s="110">
        <f>IF(L2557="",I2557,(MIN(J2557,(L2557*1.6*J2557))))</f>
        <v>674</v>
      </c>
      <c r="N2557" s="111">
        <f>IF(M2557=0,0,(M2557/J2557))</f>
        <v>0.80815347721822539</v>
      </c>
    </row>
    <row r="2558" spans="2:14" ht="30">
      <c r="B2558" s="72">
        <v>127754</v>
      </c>
      <c r="C2558" s="47" t="str">
        <f>"PALMBEACH"</f>
        <v>PALMBEACH</v>
      </c>
      <c r="D2558" s="123">
        <f>SUMIF(B$3:B$3844,B2558,M$3:M$3844)/(SUMIF(B$3:B$3844,B2558,J$3:J$3844))</f>
        <v>0.61922547211652934</v>
      </c>
      <c r="E2558" s="47">
        <v>226945</v>
      </c>
      <c r="F2558" s="48" t="s">
        <v>2241</v>
      </c>
      <c r="G2558" s="47"/>
      <c r="H2558" s="47"/>
      <c r="I2558" s="40">
        <v>79</v>
      </c>
      <c r="J2558" s="40">
        <v>83</v>
      </c>
      <c r="K2558" s="118"/>
      <c r="L2558" s="119"/>
      <c r="M2558" s="110">
        <f>IF(L2558="",I2558,(MIN(J2558,(L2558*1.6*J2558))))</f>
        <v>79</v>
      </c>
      <c r="N2558" s="111">
        <f>IF(M2558=0,0,(M2558/J2558))</f>
        <v>0.95180722891566261</v>
      </c>
    </row>
    <row r="2559" spans="2:14">
      <c r="B2559" s="73">
        <v>127754</v>
      </c>
      <c r="C2559" s="23" t="str">
        <f>"PALMBEACH"</f>
        <v>PALMBEACH</v>
      </c>
      <c r="D2559" s="123">
        <f>SUMIF(B$3:B$3844,B2559,M$3:M$3844)/(SUMIF(B$3:B$3844,B2559,J$3:J$3844))</f>
        <v>0.61922547211652934</v>
      </c>
      <c r="E2559" s="23">
        <v>220933</v>
      </c>
      <c r="F2559" s="46" t="str">
        <f>"SOUTH GRADE ELEMENTARY SCHOOL"</f>
        <v>SOUTH GRADE ELEMENTARY SCHOOL</v>
      </c>
      <c r="G2559" s="23"/>
      <c r="H2559" s="23"/>
      <c r="I2559" s="41">
        <v>753</v>
      </c>
      <c r="J2559" s="41">
        <v>755</v>
      </c>
      <c r="K2559" s="118"/>
      <c r="L2559" s="119"/>
      <c r="M2559" s="110">
        <f>IF(L2559="",I2559,(MIN(J2559,(L2559*1.6*J2559))))</f>
        <v>753</v>
      </c>
      <c r="N2559" s="111">
        <f>IF(M2559=0,0,(M2559/J2559))</f>
        <v>0.99735099337748345</v>
      </c>
    </row>
    <row r="2560" spans="2:14">
      <c r="B2560" s="72">
        <v>127754</v>
      </c>
      <c r="C2560" s="47" t="str">
        <f>"PALMBEACH"</f>
        <v>PALMBEACH</v>
      </c>
      <c r="D2560" s="123">
        <f>SUMIF(B$3:B$3844,B2560,M$3:M$3844)/(SUMIF(B$3:B$3844,B2560,J$3:J$3844))</f>
        <v>0.61922547211652934</v>
      </c>
      <c r="E2560" s="47">
        <v>37289</v>
      </c>
      <c r="F2560" s="48" t="str">
        <f>"SOUTH OLIVE ELEMENTARY SCHOOL"</f>
        <v>SOUTH OLIVE ELEMENTARY SCHOOL</v>
      </c>
      <c r="G2560" s="47"/>
      <c r="H2560" s="47"/>
      <c r="I2560" s="40">
        <v>382</v>
      </c>
      <c r="J2560" s="40">
        <v>644</v>
      </c>
      <c r="K2560" s="118"/>
      <c r="L2560" s="119"/>
      <c r="M2560" s="110">
        <f>IF(L2560="",I2560,(MIN(J2560,(L2560*1.6*J2560))))</f>
        <v>382</v>
      </c>
      <c r="N2560" s="111">
        <f>IF(M2560=0,0,(M2560/J2560))</f>
        <v>0.59316770186335399</v>
      </c>
    </row>
    <row r="2561" spans="2:14">
      <c r="B2561" s="73">
        <v>127754</v>
      </c>
      <c r="C2561" s="23" t="str">
        <f>"PALMBEACH"</f>
        <v>PALMBEACH</v>
      </c>
      <c r="D2561" s="123">
        <f>SUMIF(B$3:B$3844,B2561,M$3:M$3844)/(SUMIF(B$3:B$3844,B2561,J$3:J$3844))</f>
        <v>0.61922547211652934</v>
      </c>
      <c r="E2561" s="23">
        <v>37356</v>
      </c>
      <c r="F2561" s="46" t="str">
        <f>"SOUTH TECH ACADEMY"</f>
        <v>SOUTH TECH ACADEMY</v>
      </c>
      <c r="G2561" s="23"/>
      <c r="H2561" s="23"/>
      <c r="I2561" s="41">
        <v>870</v>
      </c>
      <c r="J2561" s="41">
        <v>1114</v>
      </c>
      <c r="K2561" s="118"/>
      <c r="L2561" s="119"/>
      <c r="M2561" s="110">
        <f>IF(L2561="",I2561,(MIN(J2561,(L2561*1.6*J2561))))</f>
        <v>870</v>
      </c>
      <c r="N2561" s="111">
        <f>IF(M2561=0,0,(M2561/J2561))</f>
        <v>0.78096947935368044</v>
      </c>
    </row>
    <row r="2562" spans="2:14">
      <c r="B2562" s="72">
        <v>127754</v>
      </c>
      <c r="C2562" s="47" t="str">
        <f>"PALMBEACH"</f>
        <v>PALMBEACH</v>
      </c>
      <c r="D2562" s="123">
        <f>SUMIF(B$3:B$3844,B2562,M$3:M$3844)/(SUMIF(B$3:B$3844,B2562,J$3:J$3844))</f>
        <v>0.61922547211652934</v>
      </c>
      <c r="E2562" s="47">
        <v>37513</v>
      </c>
      <c r="F2562" s="48" t="s">
        <v>2242</v>
      </c>
      <c r="G2562" s="47"/>
      <c r="H2562" s="47"/>
      <c r="I2562" s="40">
        <v>624</v>
      </c>
      <c r="J2562" s="40">
        <v>2343</v>
      </c>
      <c r="K2562" s="118"/>
      <c r="L2562" s="119"/>
      <c r="M2562" s="110">
        <f>IF(L2562="",I2562,(MIN(J2562,(L2562*1.6*J2562))))</f>
        <v>624</v>
      </c>
      <c r="N2562" s="111">
        <f>IF(M2562=0,0,(M2562/J2562))</f>
        <v>0.26632522407170295</v>
      </c>
    </row>
    <row r="2563" spans="2:14">
      <c r="B2563" s="73">
        <v>127754</v>
      </c>
      <c r="C2563" s="23" t="str">
        <f>"PALMBEACH"</f>
        <v>PALMBEACH</v>
      </c>
      <c r="D2563" s="123">
        <f>SUMIF(B$3:B$3844,B2563,M$3:M$3844)/(SUMIF(B$3:B$3844,B2563,J$3:J$3844))</f>
        <v>0.61922547211652934</v>
      </c>
      <c r="E2563" s="23">
        <v>37468</v>
      </c>
      <c r="F2563" s="46" t="s">
        <v>2243</v>
      </c>
      <c r="G2563" s="23"/>
      <c r="H2563" s="23"/>
      <c r="I2563" s="41">
        <v>837</v>
      </c>
      <c r="J2563" s="41">
        <v>886</v>
      </c>
      <c r="K2563" s="118"/>
      <c r="L2563" s="119"/>
      <c r="M2563" s="110">
        <f>IF(L2563="",I2563,(MIN(J2563,(L2563*1.6*J2563))))</f>
        <v>837</v>
      </c>
      <c r="N2563" s="111">
        <f>IF(M2563=0,0,(M2563/J2563))</f>
        <v>0.9446952595936795</v>
      </c>
    </row>
    <row r="2564" spans="2:14">
      <c r="B2564" s="72">
        <v>127754</v>
      </c>
      <c r="C2564" s="47" t="str">
        <f>"PALMBEACH"</f>
        <v>PALMBEACH</v>
      </c>
      <c r="D2564" s="123">
        <f>SUMIF(B$3:B$3844,B2564,M$3:M$3844)/(SUMIF(B$3:B$3844,B2564,J$3:J$3844))</f>
        <v>0.61922547211652934</v>
      </c>
      <c r="E2564" s="47">
        <v>37276</v>
      </c>
      <c r="F2564" s="48" t="s">
        <v>2244</v>
      </c>
      <c r="G2564" s="47"/>
      <c r="H2564" s="47"/>
      <c r="I2564" s="40">
        <v>481</v>
      </c>
      <c r="J2564" s="40">
        <v>1517</v>
      </c>
      <c r="K2564" s="118"/>
      <c r="L2564" s="119"/>
      <c r="M2564" s="110">
        <f>IF(L2564="",I2564,(MIN(J2564,(L2564*1.6*J2564))))</f>
        <v>481</v>
      </c>
      <c r="N2564" s="111">
        <f>IF(M2564=0,0,(M2564/J2564))</f>
        <v>0.31707317073170732</v>
      </c>
    </row>
    <row r="2565" spans="2:14">
      <c r="B2565" s="73">
        <v>127754</v>
      </c>
      <c r="C2565" s="23" t="str">
        <f>"PALMBEACH"</f>
        <v>PALMBEACH</v>
      </c>
      <c r="D2565" s="123">
        <f>SUMIF(B$3:B$3844,B2565,M$3:M$3844)/(SUMIF(B$3:B$3844,B2565,J$3:J$3844))</f>
        <v>0.61922547211652934</v>
      </c>
      <c r="E2565" s="23">
        <v>226936</v>
      </c>
      <c r="F2565" s="46" t="str">
        <f>"SUNRISE PARK ELEMENTARY SCHOOL"</f>
        <v>SUNRISE PARK ELEMENTARY SCHOOL</v>
      </c>
      <c r="G2565" s="23"/>
      <c r="H2565" s="23"/>
      <c r="I2565" s="41">
        <v>254</v>
      </c>
      <c r="J2565" s="41">
        <v>853</v>
      </c>
      <c r="K2565" s="118"/>
      <c r="L2565" s="119"/>
      <c r="M2565" s="110">
        <f>IF(L2565="",I2565,(MIN(J2565,(L2565*1.6*J2565))))</f>
        <v>254</v>
      </c>
      <c r="N2565" s="111">
        <f>IF(M2565=0,0,(M2565/J2565))</f>
        <v>0.29777256740914421</v>
      </c>
    </row>
    <row r="2566" spans="2:14">
      <c r="B2566" s="72">
        <v>127754</v>
      </c>
      <c r="C2566" s="47" t="str">
        <f>"PALMBEACH"</f>
        <v>PALMBEACH</v>
      </c>
      <c r="D2566" s="123">
        <f>SUMIF(B$3:B$3844,B2566,M$3:M$3844)/(SUMIF(B$3:B$3844,B2566,J$3:J$3844))</f>
        <v>0.61922547211652934</v>
      </c>
      <c r="E2566" s="47">
        <v>16046933</v>
      </c>
      <c r="F2566" s="48" t="str">
        <f>"SUNSET PALMS ELEMENTARY SCHOOL"</f>
        <v>SUNSET PALMS ELEMENTARY SCHOOL</v>
      </c>
      <c r="G2566" s="47"/>
      <c r="H2566" s="47"/>
      <c r="I2566" s="40">
        <v>200</v>
      </c>
      <c r="J2566" s="40">
        <v>1099</v>
      </c>
      <c r="K2566" s="118"/>
      <c r="L2566" s="119"/>
      <c r="M2566" s="110">
        <f>IF(L2566="",I2566,(MIN(J2566,(L2566*1.6*J2566))))</f>
        <v>200</v>
      </c>
      <c r="N2566" s="111">
        <f>IF(M2566=0,0,(M2566/J2566))</f>
        <v>0.18198362147406733</v>
      </c>
    </row>
    <row r="2567" spans="2:14" ht="30">
      <c r="B2567" s="73">
        <v>127754</v>
      </c>
      <c r="C2567" s="23" t="str">
        <f>"PALMBEACH"</f>
        <v>PALMBEACH</v>
      </c>
      <c r="D2567" s="123">
        <f>SUMIF(B$3:B$3844,B2567,M$3:M$3844)/(SUMIF(B$3:B$3844,B2567,J$3:J$3844))</f>
        <v>0.61922547211652934</v>
      </c>
      <c r="E2567" s="23">
        <v>37305</v>
      </c>
      <c r="F2567" s="46" t="s">
        <v>2245</v>
      </c>
      <c r="G2567" s="23"/>
      <c r="H2567" s="23"/>
      <c r="I2567" s="41">
        <v>507</v>
      </c>
      <c r="J2567" s="41">
        <v>701</v>
      </c>
      <c r="K2567" s="118"/>
      <c r="L2567" s="119"/>
      <c r="M2567" s="110">
        <f>IF(L2567="",I2567,(MIN(J2567,(L2567*1.6*J2567))))</f>
        <v>507</v>
      </c>
      <c r="N2567" s="111">
        <f>IF(M2567=0,0,(M2567/J2567))</f>
        <v>0.72325249643366618</v>
      </c>
    </row>
    <row r="2568" spans="2:14">
      <c r="B2568" s="72">
        <v>127754</v>
      </c>
      <c r="C2568" s="47" t="str">
        <f>"PALMBEACH"</f>
        <v>PALMBEACH</v>
      </c>
      <c r="D2568" s="123">
        <f>SUMIF(B$3:B$3844,B2568,M$3:M$3844)/(SUMIF(B$3:B$3844,B2568,J$3:J$3844))</f>
        <v>0.61922547211652934</v>
      </c>
      <c r="E2568" s="47">
        <v>37353</v>
      </c>
      <c r="F2568" s="48" t="str">
        <f>"TIMBER TRACE ELEMENTARY SCHOOL"</f>
        <v>TIMBER TRACE ELEMENTARY SCHOOL</v>
      </c>
      <c r="G2568" s="47"/>
      <c r="H2568" s="47"/>
      <c r="I2568" s="40">
        <v>329</v>
      </c>
      <c r="J2568" s="40">
        <v>841</v>
      </c>
      <c r="K2568" s="118"/>
      <c r="L2568" s="119"/>
      <c r="M2568" s="110">
        <f>IF(L2568="",I2568,(MIN(J2568,(L2568*1.6*J2568))))</f>
        <v>329</v>
      </c>
      <c r="N2568" s="111">
        <f>IF(M2568=0,0,(M2568/J2568))</f>
        <v>0.39120095124851367</v>
      </c>
    </row>
    <row r="2569" spans="2:14">
      <c r="B2569" s="73">
        <v>127754</v>
      </c>
      <c r="C2569" s="23" t="str">
        <f>"PALMBEACH"</f>
        <v>PALMBEACH</v>
      </c>
      <c r="D2569" s="123">
        <f>SUMIF(B$3:B$3844,B2569,M$3:M$3844)/(SUMIF(B$3:B$3844,B2569,J$3:J$3844))</f>
        <v>0.61922547211652934</v>
      </c>
      <c r="E2569" s="23">
        <v>14641803</v>
      </c>
      <c r="F2569" s="46" t="str">
        <f>"TOUSSAINT L'OUVERTURE HIGH"</f>
        <v>TOUSSAINT L'OUVERTURE HIGH</v>
      </c>
      <c r="G2569" s="23"/>
      <c r="H2569" s="23"/>
      <c r="I2569" s="41">
        <v>101</v>
      </c>
      <c r="J2569" s="41">
        <v>157</v>
      </c>
      <c r="K2569" s="118"/>
      <c r="L2569" s="119"/>
      <c r="M2569" s="110">
        <f>IF(L2569="",I2569,(MIN(J2569,(L2569*1.6*J2569))))</f>
        <v>101</v>
      </c>
      <c r="N2569" s="111">
        <f>IF(M2569=0,0,(M2569/J2569))</f>
        <v>0.64331210191082799</v>
      </c>
    </row>
    <row r="2570" spans="2:14">
      <c r="B2570" s="72">
        <v>127754</v>
      </c>
      <c r="C2570" s="47" t="str">
        <f>"PALMBEACH"</f>
        <v>PALMBEACH</v>
      </c>
      <c r="D2570" s="123">
        <f>SUMIF(B$3:B$3844,B2570,M$3:M$3844)/(SUMIF(B$3:B$3844,B2570,J$3:J$3844))</f>
        <v>0.61922547211652934</v>
      </c>
      <c r="E2570" s="47">
        <v>16025588</v>
      </c>
      <c r="F2570" s="48" t="str">
        <f>"TRADEWINDS MIDDLE SCHOOL"</f>
        <v>TRADEWINDS MIDDLE SCHOOL</v>
      </c>
      <c r="G2570" s="47"/>
      <c r="H2570" s="47"/>
      <c r="I2570" s="40">
        <v>872</v>
      </c>
      <c r="J2570" s="40">
        <v>1055</v>
      </c>
      <c r="K2570" s="118"/>
      <c r="L2570" s="119"/>
      <c r="M2570" s="110">
        <f>IF(L2570="",I2570,(MIN(J2570,(L2570*1.6*J2570))))</f>
        <v>872</v>
      </c>
      <c r="N2570" s="111">
        <f>IF(M2570=0,0,(M2570/J2570))</f>
        <v>0.82654028436018956</v>
      </c>
    </row>
    <row r="2571" spans="2:14">
      <c r="B2571" s="73">
        <v>127754</v>
      </c>
      <c r="C2571" s="23" t="str">
        <f>"PALMBEACH"</f>
        <v>PALMBEACH</v>
      </c>
      <c r="D2571" s="123">
        <f>SUMIF(B$3:B$3844,B2571,M$3:M$3844)/(SUMIF(B$3:B$3844,B2571,J$3:J$3844))</f>
        <v>0.61922547211652934</v>
      </c>
      <c r="E2571" s="23">
        <v>16061803</v>
      </c>
      <c r="F2571" s="46" t="str">
        <f>"TURNING POINTS ACADEMY"</f>
        <v>TURNING POINTS ACADEMY</v>
      </c>
      <c r="G2571" s="23"/>
      <c r="H2571" s="23"/>
      <c r="I2571" s="41">
        <v>118</v>
      </c>
      <c r="J2571" s="41">
        <v>129</v>
      </c>
      <c r="K2571" s="118"/>
      <c r="L2571" s="119"/>
      <c r="M2571" s="110">
        <f>IF(L2571="",I2571,(MIN(J2571,(L2571*1.6*J2571))))</f>
        <v>118</v>
      </c>
      <c r="N2571" s="111">
        <f>IF(M2571=0,0,(M2571/J2571))</f>
        <v>0.9147286821705426</v>
      </c>
    </row>
    <row r="2572" spans="2:14">
      <c r="B2572" s="72">
        <v>127754</v>
      </c>
      <c r="C2572" s="47" t="str">
        <f>"PALMBEACH"</f>
        <v>PALMBEACH</v>
      </c>
      <c r="D2572" s="123">
        <f>SUMIF(B$3:B$3844,B2572,M$3:M$3844)/(SUMIF(B$3:B$3844,B2572,J$3:J$3844))</f>
        <v>0.61922547211652934</v>
      </c>
      <c r="E2572" s="47">
        <v>37259</v>
      </c>
      <c r="F2572" s="48" t="s">
        <v>2246</v>
      </c>
      <c r="G2572" s="47"/>
      <c r="H2572" s="47"/>
      <c r="I2572" s="40">
        <v>525</v>
      </c>
      <c r="J2572" s="40">
        <v>603</v>
      </c>
      <c r="K2572" s="118"/>
      <c r="L2572" s="119"/>
      <c r="M2572" s="110">
        <f>IF(L2572="",I2572,(MIN(J2572,(L2572*1.6*J2572))))</f>
        <v>525</v>
      </c>
      <c r="N2572" s="111">
        <f>IF(M2572=0,0,(M2572/J2572))</f>
        <v>0.87064676616915426</v>
      </c>
    </row>
    <row r="2573" spans="2:14">
      <c r="B2573" s="73">
        <v>127754</v>
      </c>
      <c r="C2573" s="23" t="str">
        <f>"PALMBEACH"</f>
        <v>PALMBEACH</v>
      </c>
      <c r="D2573" s="123">
        <f>SUMIF(B$3:B$3844,B2573,M$3:M$3844)/(SUMIF(B$3:B$3844,B2573,J$3:J$3844))</f>
        <v>0.61922547211652934</v>
      </c>
      <c r="E2573" s="23">
        <v>37384</v>
      </c>
      <c r="F2573" s="46" t="str">
        <f>"VERDE ELEMENTARY SCHOOL"</f>
        <v>VERDE ELEMENTARY SCHOOL</v>
      </c>
      <c r="G2573" s="23"/>
      <c r="H2573" s="23"/>
      <c r="I2573" s="41">
        <v>415</v>
      </c>
      <c r="J2573" s="41">
        <v>979</v>
      </c>
      <c r="K2573" s="118"/>
      <c r="L2573" s="119"/>
      <c r="M2573" s="110">
        <f>IF(L2573="",I2573,(MIN(J2573,(L2573*1.6*J2573))))</f>
        <v>415</v>
      </c>
      <c r="N2573" s="111">
        <f>IF(M2573=0,0,(M2573/J2573))</f>
        <v>0.42390194075587334</v>
      </c>
    </row>
    <row r="2574" spans="2:14" ht="30">
      <c r="B2574" s="72">
        <v>127754</v>
      </c>
      <c r="C2574" s="47" t="str">
        <f>"PALMBEACH"</f>
        <v>PALMBEACH</v>
      </c>
      <c r="D2574" s="123">
        <f>SUMIF(B$3:B$3844,B2574,M$3:M$3844)/(SUMIF(B$3:B$3844,B2574,J$3:J$3844))</f>
        <v>0.61922547211652934</v>
      </c>
      <c r="E2574" s="47">
        <v>220934</v>
      </c>
      <c r="F2574" s="48" t="s">
        <v>2247</v>
      </c>
      <c r="G2574" s="47"/>
      <c r="H2574" s="47"/>
      <c r="I2574" s="40">
        <v>855</v>
      </c>
      <c r="J2574" s="40">
        <v>891</v>
      </c>
      <c r="K2574" s="118"/>
      <c r="L2574" s="119"/>
      <c r="M2574" s="110">
        <f>IF(L2574="",I2574,(MIN(J2574,(L2574*1.6*J2574))))</f>
        <v>855</v>
      </c>
      <c r="N2574" s="111">
        <f>IF(M2574=0,0,(M2574/J2574))</f>
        <v>0.95959595959595956</v>
      </c>
    </row>
    <row r="2575" spans="2:14">
      <c r="B2575" s="73">
        <v>127754</v>
      </c>
      <c r="C2575" s="23" t="str">
        <f>"PALMBEACH"</f>
        <v>PALMBEACH</v>
      </c>
      <c r="D2575" s="123">
        <f>SUMIF(B$3:B$3844,B2575,M$3:M$3844)/(SUMIF(B$3:B$3844,B2575,J$3:J$3844))</f>
        <v>0.61922547211652934</v>
      </c>
      <c r="E2575" s="23">
        <v>37273</v>
      </c>
      <c r="F2575" s="46" t="s">
        <v>2248</v>
      </c>
      <c r="G2575" s="23"/>
      <c r="H2575" s="23"/>
      <c r="I2575" s="41">
        <v>358</v>
      </c>
      <c r="J2575" s="41">
        <v>374</v>
      </c>
      <c r="K2575" s="118"/>
      <c r="L2575" s="119"/>
      <c r="M2575" s="110">
        <f>IF(L2575="",I2575,(MIN(J2575,(L2575*1.6*J2575))))</f>
        <v>358</v>
      </c>
      <c r="N2575" s="111">
        <f>IF(M2575=0,0,(M2575/J2575))</f>
        <v>0.95721925133689845</v>
      </c>
    </row>
    <row r="2576" spans="2:14">
      <c r="B2576" s="72">
        <v>127754</v>
      </c>
      <c r="C2576" s="47" t="str">
        <f>"PALMBEACH"</f>
        <v>PALMBEACH</v>
      </c>
      <c r="D2576" s="123">
        <f>SUMIF(B$3:B$3844,B2576,M$3:M$3844)/(SUMIF(B$3:B$3844,B2576,J$3:J$3844))</f>
        <v>0.61922547211652934</v>
      </c>
      <c r="E2576" s="47">
        <v>37359</v>
      </c>
      <c r="F2576" s="48" t="str">
        <f>"WATERS EDGE ELEMENTARY SCHOOL"</f>
        <v>WATERS EDGE ELEMENTARY SCHOOL</v>
      </c>
      <c r="G2576" s="47"/>
      <c r="H2576" s="47"/>
      <c r="I2576" s="40">
        <v>172</v>
      </c>
      <c r="J2576" s="40">
        <v>844</v>
      </c>
      <c r="K2576" s="118"/>
      <c r="L2576" s="119"/>
      <c r="M2576" s="110">
        <f>IF(L2576="",I2576,(MIN(J2576,(L2576*1.6*J2576))))</f>
        <v>172</v>
      </c>
      <c r="N2576" s="111">
        <f>IF(M2576=0,0,(M2576/J2576))</f>
        <v>0.20379146919431279</v>
      </c>
    </row>
    <row r="2577" spans="2:14">
      <c r="B2577" s="73">
        <v>127754</v>
      </c>
      <c r="C2577" s="23" t="str">
        <f>"PALMBEACH"</f>
        <v>PALMBEACH</v>
      </c>
      <c r="D2577" s="123">
        <f>SUMIF(B$3:B$3844,B2577,M$3:M$3844)/(SUMIF(B$3:B$3844,B2577,J$3:J$3844))</f>
        <v>0.61922547211652934</v>
      </c>
      <c r="E2577" s="23">
        <v>37354</v>
      </c>
      <c r="F2577" s="46" t="str">
        <f>"WATSON B. DUNCAN MIDDLE SCHOOL"</f>
        <v>WATSON B. DUNCAN MIDDLE SCHOOL</v>
      </c>
      <c r="G2577" s="23"/>
      <c r="H2577" s="23"/>
      <c r="I2577" s="41">
        <v>553</v>
      </c>
      <c r="J2577" s="41">
        <v>1308</v>
      </c>
      <c r="K2577" s="118"/>
      <c r="L2577" s="119"/>
      <c r="M2577" s="110">
        <f>IF(L2577="",I2577,(MIN(J2577,(L2577*1.6*J2577))))</f>
        <v>553</v>
      </c>
      <c r="N2577" s="111">
        <f>IF(M2577=0,0,(M2577/J2577))</f>
        <v>0.422782874617737</v>
      </c>
    </row>
    <row r="2578" spans="2:14">
      <c r="B2578" s="72">
        <v>127754</v>
      </c>
      <c r="C2578" s="47" t="str">
        <f>"PALMBEACH"</f>
        <v>PALMBEACH</v>
      </c>
      <c r="D2578" s="123">
        <f>SUMIF(B$3:B$3844,B2578,M$3:M$3844)/(SUMIF(B$3:B$3844,B2578,J$3:J$3844))</f>
        <v>0.61922547211652934</v>
      </c>
      <c r="E2578" s="47">
        <v>37336</v>
      </c>
      <c r="F2578" s="48" t="str">
        <f>"WELLINGTON ELEMENTARY SCHOOL"</f>
        <v>WELLINGTON ELEMENTARY SCHOOL</v>
      </c>
      <c r="G2578" s="47"/>
      <c r="H2578" s="47"/>
      <c r="I2578" s="40">
        <v>330</v>
      </c>
      <c r="J2578" s="40">
        <v>739</v>
      </c>
      <c r="K2578" s="118"/>
      <c r="L2578" s="119"/>
      <c r="M2578" s="110">
        <f>IF(L2578="",I2578,(MIN(J2578,(L2578*1.6*J2578))))</f>
        <v>330</v>
      </c>
      <c r="N2578" s="111">
        <f>IF(M2578=0,0,(M2578/J2578))</f>
        <v>0.4465493910690122</v>
      </c>
    </row>
    <row r="2579" spans="2:14">
      <c r="B2579" s="73">
        <v>127754</v>
      </c>
      <c r="C2579" s="23" t="str">
        <f>"PALMBEACH"</f>
        <v>PALMBEACH</v>
      </c>
      <c r="D2579" s="123">
        <f>SUMIF(B$3:B$3844,B2579,M$3:M$3844)/(SUMIF(B$3:B$3844,B2579,J$3:J$3844))</f>
        <v>0.61922547211652934</v>
      </c>
      <c r="E2579" s="23">
        <v>37339</v>
      </c>
      <c r="F2579" s="46" t="str">
        <f>"WELLINGTON HIGH SCHOOL"</f>
        <v>WELLINGTON HIGH SCHOOL</v>
      </c>
      <c r="G2579" s="23"/>
      <c r="H2579" s="23"/>
      <c r="I2579" s="41">
        <v>881</v>
      </c>
      <c r="J2579" s="41">
        <v>2463</v>
      </c>
      <c r="K2579" s="118"/>
      <c r="L2579" s="119"/>
      <c r="M2579" s="110">
        <f>IF(L2579="",I2579,(MIN(J2579,(L2579*1.6*J2579))))</f>
        <v>881</v>
      </c>
      <c r="N2579" s="111">
        <f>IF(M2579=0,0,(M2579/J2579))</f>
        <v>0.35769386926512381</v>
      </c>
    </row>
    <row r="2580" spans="2:14">
      <c r="B2580" s="72">
        <v>127754</v>
      </c>
      <c r="C2580" s="47" t="str">
        <f>"PALMBEACH"</f>
        <v>PALMBEACH</v>
      </c>
      <c r="D2580" s="123">
        <f>SUMIF(B$3:B$3844,B2580,M$3:M$3844)/(SUMIF(B$3:B$3844,B2580,J$3:J$3844))</f>
        <v>0.61922547211652934</v>
      </c>
      <c r="E2580" s="47">
        <v>37341</v>
      </c>
      <c r="F2580" s="48" t="str">
        <f>"WELLINGTON LANDINGS MIDDLE"</f>
        <v>WELLINGTON LANDINGS MIDDLE</v>
      </c>
      <c r="G2580" s="47"/>
      <c r="H2580" s="47"/>
      <c r="I2580" s="40">
        <v>394</v>
      </c>
      <c r="J2580" s="40">
        <v>1063</v>
      </c>
      <c r="K2580" s="118"/>
      <c r="L2580" s="119"/>
      <c r="M2580" s="110">
        <f>IF(L2580="",I2580,(MIN(J2580,(L2580*1.6*J2580))))</f>
        <v>394</v>
      </c>
      <c r="N2580" s="111">
        <f>IF(M2580=0,0,(M2580/J2580))</f>
        <v>0.37064910630291625</v>
      </c>
    </row>
    <row r="2581" spans="2:14">
      <c r="B2581" s="73">
        <v>127754</v>
      </c>
      <c r="C2581" s="23" t="str">
        <f>"PALMBEACH"</f>
        <v>PALMBEACH</v>
      </c>
      <c r="D2581" s="123">
        <f>SUMIF(B$3:B$3844,B2581,M$3:M$3844)/(SUMIF(B$3:B$3844,B2581,J$3:J$3844))</f>
        <v>0.61922547211652934</v>
      </c>
      <c r="E2581" s="23">
        <v>16025589</v>
      </c>
      <c r="F2581" s="46" t="str">
        <f>"WEST BOCA RATON HIGH SCHOOL"</f>
        <v>WEST BOCA RATON HIGH SCHOOL</v>
      </c>
      <c r="G2581" s="23"/>
      <c r="H2581" s="23"/>
      <c r="I2581" s="41">
        <v>664</v>
      </c>
      <c r="J2581" s="41">
        <v>1933</v>
      </c>
      <c r="K2581" s="118"/>
      <c r="L2581" s="119"/>
      <c r="M2581" s="110">
        <f>IF(L2581="",I2581,(MIN(J2581,(L2581*1.6*J2581))))</f>
        <v>664</v>
      </c>
      <c r="N2581" s="111">
        <f>IF(M2581=0,0,(M2581/J2581))</f>
        <v>0.34350750129332641</v>
      </c>
    </row>
    <row r="2582" spans="2:14">
      <c r="B2582" s="72">
        <v>127754</v>
      </c>
      <c r="C2582" s="47" t="str">
        <f>"PALMBEACH"</f>
        <v>PALMBEACH</v>
      </c>
      <c r="D2582" s="123">
        <f>SUMIF(B$3:B$3844,B2582,M$3:M$3844)/(SUMIF(B$3:B$3844,B2582,J$3:J$3844))</f>
        <v>0.61922547211652934</v>
      </c>
      <c r="E2582" s="47">
        <v>37311</v>
      </c>
      <c r="F2582" s="48" t="str">
        <f>"WEST GATE ELEMENTARY SCHOOL"</f>
        <v>WEST GATE ELEMENTARY SCHOOL</v>
      </c>
      <c r="G2582" s="47"/>
      <c r="H2582" s="47"/>
      <c r="I2582" s="40">
        <v>748</v>
      </c>
      <c r="J2582" s="40">
        <v>768</v>
      </c>
      <c r="K2582" s="118"/>
      <c r="L2582" s="119"/>
      <c r="M2582" s="110">
        <f>IF(L2582="",I2582,(MIN(J2582,(L2582*1.6*J2582))))</f>
        <v>748</v>
      </c>
      <c r="N2582" s="111">
        <f>IF(M2582=0,0,(M2582/J2582))</f>
        <v>0.97395833333333337</v>
      </c>
    </row>
    <row r="2583" spans="2:14">
      <c r="B2583" s="73">
        <v>127754</v>
      </c>
      <c r="C2583" s="23" t="str">
        <f>"PALMBEACH"</f>
        <v>PALMBEACH</v>
      </c>
      <c r="D2583" s="123">
        <f>SUMIF(B$3:B$3844,B2583,M$3:M$3844)/(SUMIF(B$3:B$3844,B2583,J$3:J$3844))</f>
        <v>0.61922547211652934</v>
      </c>
      <c r="E2583" s="23">
        <v>37281</v>
      </c>
      <c r="F2583" s="46" t="str">
        <f>"WEST RIVIERA ELEMENTARY SCHOOL"</f>
        <v>WEST RIVIERA ELEMENTARY SCHOOL</v>
      </c>
      <c r="G2583" s="23"/>
      <c r="H2583" s="23"/>
      <c r="I2583" s="41">
        <v>733</v>
      </c>
      <c r="J2583" s="41">
        <v>750</v>
      </c>
      <c r="K2583" s="118"/>
      <c r="L2583" s="119"/>
      <c r="M2583" s="110">
        <f>IF(L2583="",I2583,(MIN(J2583,(L2583*1.6*J2583))))</f>
        <v>733</v>
      </c>
      <c r="N2583" s="111">
        <f>IF(M2583=0,0,(M2583/J2583))</f>
        <v>0.97733333333333339</v>
      </c>
    </row>
    <row r="2584" spans="2:14">
      <c r="B2584" s="72">
        <v>127754</v>
      </c>
      <c r="C2584" s="47" t="str">
        <f>"PALMBEACH"</f>
        <v>PALMBEACH</v>
      </c>
      <c r="D2584" s="123">
        <f>SUMIF(B$3:B$3844,B2584,M$3:M$3844)/(SUMIF(B$3:B$3844,B2584,J$3:J$3844))</f>
        <v>0.61922547211652934</v>
      </c>
      <c r="E2584" s="47">
        <v>37362</v>
      </c>
      <c r="F2584" s="48" t="s">
        <v>2249</v>
      </c>
      <c r="G2584" s="47"/>
      <c r="H2584" s="47"/>
      <c r="I2584" s="40"/>
      <c r="J2584" s="40">
        <v>0</v>
      </c>
      <c r="K2584" s="118"/>
      <c r="L2584" s="119"/>
      <c r="M2584" s="110">
        <f>IF(L2584="",I2584,(MIN(J2584,(L2584*1.6*J2584))))</f>
        <v>0</v>
      </c>
      <c r="N2584" s="111">
        <f>IF(M2584=0,0,(M2584/J2584))</f>
        <v>0</v>
      </c>
    </row>
    <row r="2585" spans="2:14">
      <c r="B2585" s="73">
        <v>127754</v>
      </c>
      <c r="C2585" s="23" t="str">
        <f>"PALMBEACH"</f>
        <v>PALMBEACH</v>
      </c>
      <c r="D2585" s="123">
        <f>SUMIF(B$3:B$3844,B2585,M$3:M$3844)/(SUMIF(B$3:B$3844,B2585,J$3:J$3844))</f>
        <v>0.61922547211652934</v>
      </c>
      <c r="E2585" s="23">
        <v>37333</v>
      </c>
      <c r="F2585" s="46" t="str">
        <f>"WESTERN PINES COMMUNITY MIDDLE"</f>
        <v>WESTERN PINES COMMUNITY MIDDLE</v>
      </c>
      <c r="G2585" s="23"/>
      <c r="H2585" s="23"/>
      <c r="I2585" s="41">
        <v>514</v>
      </c>
      <c r="J2585" s="41">
        <v>1073</v>
      </c>
      <c r="K2585" s="118"/>
      <c r="L2585" s="119"/>
      <c r="M2585" s="110">
        <f>IF(L2585="",I2585,(MIN(J2585,(L2585*1.6*J2585))))</f>
        <v>514</v>
      </c>
      <c r="N2585" s="111">
        <f>IF(M2585=0,0,(M2585/J2585))</f>
        <v>0.47903075489282387</v>
      </c>
    </row>
    <row r="2586" spans="2:14">
      <c r="B2586" s="72">
        <v>127754</v>
      </c>
      <c r="C2586" s="47" t="str">
        <f>"PALMBEACH"</f>
        <v>PALMBEACH</v>
      </c>
      <c r="D2586" s="123">
        <f>SUMIF(B$3:B$3844,B2586,M$3:M$3844)/(SUMIF(B$3:B$3844,B2586,J$3:J$3844))</f>
        <v>0.61922547211652934</v>
      </c>
      <c r="E2586" s="47">
        <v>37258</v>
      </c>
      <c r="F2586" s="48" t="str">
        <f>"WESTWARD ELEMENTARY SCHOOL"</f>
        <v>WESTWARD ELEMENTARY SCHOOL</v>
      </c>
      <c r="G2586" s="47"/>
      <c r="H2586" s="47"/>
      <c r="I2586" s="40">
        <v>527</v>
      </c>
      <c r="J2586" s="40">
        <v>569</v>
      </c>
      <c r="K2586" s="118"/>
      <c r="L2586" s="119"/>
      <c r="M2586" s="110">
        <f>IF(L2586="",I2586,(MIN(J2586,(L2586*1.6*J2586))))</f>
        <v>527</v>
      </c>
      <c r="N2586" s="111">
        <f>IF(M2586=0,0,(M2586/J2586))</f>
        <v>0.92618629173989453</v>
      </c>
    </row>
    <row r="2587" spans="2:14">
      <c r="B2587" s="73">
        <v>127754</v>
      </c>
      <c r="C2587" s="23" t="str">
        <f>"PALMBEACH"</f>
        <v>PALMBEACH</v>
      </c>
      <c r="D2587" s="123">
        <f>SUMIF(B$3:B$3844,B2587,M$3:M$3844)/(SUMIF(B$3:B$3844,B2587,J$3:J$3844))</f>
        <v>0.61922547211652934</v>
      </c>
      <c r="E2587" s="23">
        <v>37511</v>
      </c>
      <c r="F2587" s="46" t="s">
        <v>480</v>
      </c>
      <c r="G2587" s="23"/>
      <c r="H2587" s="23"/>
      <c r="I2587" s="41">
        <v>319</v>
      </c>
      <c r="J2587" s="41">
        <v>878</v>
      </c>
      <c r="K2587" s="118"/>
      <c r="L2587" s="119"/>
      <c r="M2587" s="110">
        <f>IF(L2587="",I2587,(MIN(J2587,(L2587*1.6*J2587))))</f>
        <v>319</v>
      </c>
      <c r="N2587" s="111">
        <f>IF(M2587=0,0,(M2587/J2587))</f>
        <v>0.36332574031890663</v>
      </c>
    </row>
    <row r="2588" spans="2:14">
      <c r="B2588" s="72">
        <v>127754</v>
      </c>
      <c r="C2588" s="47" t="str">
        <f>"PALMBEACH"</f>
        <v>PALMBEACH</v>
      </c>
      <c r="D2588" s="123">
        <f>SUMIF(B$3:B$3844,B2588,M$3:M$3844)/(SUMIF(B$3:B$3844,B2588,J$3:J$3844))</f>
        <v>0.61922547211652934</v>
      </c>
      <c r="E2588" s="47">
        <v>37315</v>
      </c>
      <c r="F2588" s="48" t="str">
        <f>"WILLIAM T. DWYER HIGH SCHOOL"</f>
        <v>WILLIAM T. DWYER HIGH SCHOOL</v>
      </c>
      <c r="G2588" s="47"/>
      <c r="H2588" s="47"/>
      <c r="I2588" s="40">
        <v>915</v>
      </c>
      <c r="J2588" s="40">
        <v>2044</v>
      </c>
      <c r="K2588" s="118"/>
      <c r="L2588" s="119"/>
      <c r="M2588" s="110">
        <f>IF(L2588="",I2588,(MIN(J2588,(L2588*1.6*J2588))))</f>
        <v>915</v>
      </c>
      <c r="N2588" s="111">
        <f>IF(M2588=0,0,(M2588/J2588))</f>
        <v>0.44765166340508805</v>
      </c>
    </row>
    <row r="2589" spans="2:14">
      <c r="B2589" s="73">
        <v>127754</v>
      </c>
      <c r="C2589" s="23" t="str">
        <f>"PALMBEACH"</f>
        <v>PALMBEACH</v>
      </c>
      <c r="D2589" s="123">
        <f>SUMIF(B$3:B$3844,B2589,M$3:M$3844)/(SUMIF(B$3:B$3844,B2589,J$3:J$3844))</f>
        <v>0.61922547211652934</v>
      </c>
      <c r="E2589" s="23">
        <v>37481</v>
      </c>
      <c r="F2589" s="46" t="str">
        <f>"WOODLANDS MIDDLE SCHOOL"</f>
        <v>WOODLANDS MIDDLE SCHOOL</v>
      </c>
      <c r="G2589" s="23"/>
      <c r="H2589" s="23"/>
      <c r="I2589" s="41">
        <v>614</v>
      </c>
      <c r="J2589" s="41">
        <v>1085</v>
      </c>
      <c r="K2589" s="118"/>
      <c r="L2589" s="119"/>
      <c r="M2589" s="110">
        <f>IF(L2589="",I2589,(MIN(J2589,(L2589*1.6*J2589))))</f>
        <v>614</v>
      </c>
      <c r="N2589" s="111">
        <f>IF(M2589=0,0,(M2589/J2589))</f>
        <v>0.56589861751152071</v>
      </c>
    </row>
    <row r="2590" spans="2:14">
      <c r="B2590" s="72">
        <v>127754</v>
      </c>
      <c r="C2590" s="47" t="str">
        <f>"PALMBEACH"</f>
        <v>PALMBEACH</v>
      </c>
      <c r="D2590" s="123">
        <f>SUMIF(B$3:B$3844,B2590,M$3:M$3844)/(SUMIF(B$3:B$3844,B2590,J$3:J$3844))</f>
        <v>0.61922547211652934</v>
      </c>
      <c r="E2590" s="47">
        <v>37350</v>
      </c>
      <c r="F2590" s="48" t="str">
        <f>"WYNNEBROOK ELEMENTARY SCHOOL"</f>
        <v>WYNNEBROOK ELEMENTARY SCHOOL</v>
      </c>
      <c r="G2590" s="47"/>
      <c r="H2590" s="47"/>
      <c r="I2590" s="40">
        <v>818</v>
      </c>
      <c r="J2590" s="40">
        <v>870</v>
      </c>
      <c r="K2590" s="118"/>
      <c r="L2590" s="119"/>
      <c r="M2590" s="110">
        <f>IF(L2590="",I2590,(MIN(J2590,(L2590*1.6*J2590))))</f>
        <v>818</v>
      </c>
      <c r="N2590" s="111">
        <f>IF(M2590=0,0,(M2590/J2590))</f>
        <v>0.94022988505747129</v>
      </c>
    </row>
    <row r="2591" spans="2:14">
      <c r="B2591" s="120">
        <v>127873</v>
      </c>
      <c r="C2591" s="121" t="s">
        <v>1620</v>
      </c>
      <c r="D2591" s="109">
        <f>SUMIF(B$3:B$3844,B2591,M$3:M$3844)/(SUMIF(B$3:B$3844,B2591,J$3:J$3844))</f>
        <v>0.5620239312301113</v>
      </c>
      <c r="E2591" s="91">
        <v>16069298</v>
      </c>
      <c r="F2591" s="93" t="str">
        <f>"ACADEMY AT THE FARM"</f>
        <v>ACADEMY AT THE FARM</v>
      </c>
      <c r="G2591" s="94"/>
      <c r="H2591" s="92"/>
      <c r="I2591" s="95">
        <v>162</v>
      </c>
      <c r="J2591" s="95">
        <v>550</v>
      </c>
      <c r="K2591" s="118"/>
      <c r="L2591" s="119"/>
      <c r="M2591" s="110">
        <f>IF(L2591="",I2591,(MIN(J2591,(L2591*1.6*J2591))))</f>
        <v>162</v>
      </c>
      <c r="N2591" s="111">
        <f>IF(M2591=0,0,(M2591/J2591))</f>
        <v>0.29454545454545455</v>
      </c>
    </row>
    <row r="2592" spans="2:14">
      <c r="B2592" s="120">
        <v>127873</v>
      </c>
      <c r="C2592" s="121" t="s">
        <v>1620</v>
      </c>
      <c r="D2592" s="109">
        <f>SUMIF(B$3:B$3844,B2592,M$3:M$3844)/(SUMIF(B$3:B$3844,B2592,J$3:J$3844))</f>
        <v>0.5620239312301113</v>
      </c>
      <c r="E2592" s="91">
        <v>37540</v>
      </c>
      <c r="F2592" s="93" t="str">
        <f>"ADULT EDUCATION/MOORE MICKENS"</f>
        <v>ADULT EDUCATION/MOORE MICKENS</v>
      </c>
      <c r="G2592" s="94"/>
      <c r="H2592" s="92"/>
      <c r="I2592" s="95"/>
      <c r="J2592" s="95">
        <v>178</v>
      </c>
      <c r="K2592" s="118"/>
      <c r="L2592" s="119"/>
      <c r="M2592" s="110">
        <f>IF(L2592="",I2592,(MIN(J2592,(L2592*1.6*J2592))))</f>
        <v>0</v>
      </c>
      <c r="N2592" s="111">
        <f>IF(M2592=0,0,(M2592/J2592))</f>
        <v>0</v>
      </c>
    </row>
    <row r="2593" spans="2:14">
      <c r="B2593" s="120">
        <v>127873</v>
      </c>
      <c r="C2593" s="121" t="s">
        <v>1620</v>
      </c>
      <c r="D2593" s="109">
        <f>SUMIF(B$3:B$3844,B2593,M$3:M$3844)/(SUMIF(B$3:B$3844,B2593,J$3:J$3844))</f>
        <v>0.5620239312301113</v>
      </c>
      <c r="E2593" s="91">
        <v>151596</v>
      </c>
      <c r="F2593" s="93" t="s">
        <v>2426</v>
      </c>
      <c r="G2593" s="94"/>
      <c r="H2593" s="92"/>
      <c r="I2593" s="95">
        <v>38</v>
      </c>
      <c r="J2593" s="95">
        <v>54</v>
      </c>
      <c r="K2593" s="118"/>
      <c r="L2593" s="119"/>
      <c r="M2593" s="110">
        <f>IF(L2593="",I2593,(MIN(J2593,(L2593*1.6*J2593))))</f>
        <v>38</v>
      </c>
      <c r="N2593" s="111">
        <f>IF(M2593=0,0,(M2593/J2593))</f>
        <v>0.70370370370370372</v>
      </c>
    </row>
    <row r="2594" spans="2:14">
      <c r="B2594" s="120">
        <v>127873</v>
      </c>
      <c r="C2594" s="121" t="s">
        <v>1620</v>
      </c>
      <c r="D2594" s="109">
        <f>SUMIF(B$3:B$3844,B2594,M$3:M$3844)/(SUMIF(B$3:B$3844,B2594,J$3:J$3844))</f>
        <v>0.5620239312301113</v>
      </c>
      <c r="E2594" s="91">
        <v>38647</v>
      </c>
      <c r="F2594" s="93" t="str">
        <f>"ANCLOTE ELEMENTARY SCHOOL"</f>
        <v>ANCLOTE ELEMENTARY SCHOOL</v>
      </c>
      <c r="G2594" s="94"/>
      <c r="H2594" s="92"/>
      <c r="I2594" s="95">
        <v>354</v>
      </c>
      <c r="J2594" s="95">
        <v>418</v>
      </c>
      <c r="K2594" s="118"/>
      <c r="L2594" s="119"/>
      <c r="M2594" s="110">
        <f>IF(L2594="",I2594,(MIN(J2594,(L2594*1.6*J2594))))</f>
        <v>354</v>
      </c>
      <c r="N2594" s="111">
        <f>IF(M2594=0,0,(M2594/J2594))</f>
        <v>0.84688995215311003</v>
      </c>
    </row>
    <row r="2595" spans="2:14">
      <c r="B2595" s="120">
        <v>127873</v>
      </c>
      <c r="C2595" s="121" t="s">
        <v>1620</v>
      </c>
      <c r="D2595" s="109">
        <f>SUMIF(B$3:B$3844,B2595,M$3:M$3844)/(SUMIF(B$3:B$3844,B2595,J$3:J$3844))</f>
        <v>0.5620239312301113</v>
      </c>
      <c r="E2595" s="91">
        <v>16052490</v>
      </c>
      <c r="F2595" s="93" t="str">
        <f>"ANCLOTE HIGH SCHOOL"</f>
        <v>ANCLOTE HIGH SCHOOL</v>
      </c>
      <c r="G2595" s="94"/>
      <c r="H2595" s="92"/>
      <c r="I2595" s="95">
        <v>1015</v>
      </c>
      <c r="J2595" s="95">
        <v>1359</v>
      </c>
      <c r="K2595" s="118"/>
      <c r="L2595" s="119"/>
      <c r="M2595" s="110">
        <f>IF(L2595="",I2595,(MIN(J2595,(L2595*1.6*J2595))))</f>
        <v>1015</v>
      </c>
      <c r="N2595" s="111">
        <f>IF(M2595=0,0,(M2595/J2595))</f>
        <v>0.74687270051508459</v>
      </c>
    </row>
    <row r="2596" spans="2:14">
      <c r="B2596" s="120">
        <v>127873</v>
      </c>
      <c r="C2596" s="121" t="s">
        <v>1620</v>
      </c>
      <c r="D2596" s="109">
        <f>SUMIF(B$3:B$3844,B2596,M$3:M$3844)/(SUMIF(B$3:B$3844,B2596,J$3:J$3844))</f>
        <v>0.5620239312301113</v>
      </c>
      <c r="E2596" s="91">
        <v>16045263</v>
      </c>
      <c r="F2596" s="93" t="s">
        <v>2427</v>
      </c>
      <c r="G2596" s="94"/>
      <c r="H2596" s="92"/>
      <c r="I2596" s="95">
        <v>247</v>
      </c>
      <c r="J2596" s="95">
        <v>360</v>
      </c>
      <c r="K2596" s="118"/>
      <c r="L2596" s="119"/>
      <c r="M2596" s="110">
        <f>IF(L2596="",I2596,(MIN(J2596,(L2596*1.6*J2596))))</f>
        <v>247</v>
      </c>
      <c r="N2596" s="111">
        <f>IF(M2596=0,0,(M2596/J2596))</f>
        <v>0.68611111111111112</v>
      </c>
    </row>
    <row r="2597" spans="2:14">
      <c r="B2597" s="120">
        <v>127873</v>
      </c>
      <c r="C2597" s="121" t="s">
        <v>1620</v>
      </c>
      <c r="D2597" s="109">
        <f>SUMIF(B$3:B$3844,B2597,M$3:M$3844)/(SUMIF(B$3:B$3844,B2597,J$3:J$3844))</f>
        <v>0.5620239312301113</v>
      </c>
      <c r="E2597" s="91">
        <v>38659</v>
      </c>
      <c r="F2597" s="93" t="str">
        <f>"BAYONET POINT MIDDLE SCHOOL"</f>
        <v>BAYONET POINT MIDDLE SCHOOL</v>
      </c>
      <c r="G2597" s="94"/>
      <c r="H2597" s="92"/>
      <c r="I2597" s="95">
        <v>427</v>
      </c>
      <c r="J2597" s="95">
        <v>519</v>
      </c>
      <c r="K2597" s="118"/>
      <c r="L2597" s="119"/>
      <c r="M2597" s="110">
        <f>IF(L2597="",I2597,(MIN(J2597,(L2597*1.6*J2597))))</f>
        <v>427</v>
      </c>
      <c r="N2597" s="111">
        <f>IF(M2597=0,0,(M2597/J2597))</f>
        <v>0.82273603082851643</v>
      </c>
    </row>
    <row r="2598" spans="2:14">
      <c r="B2598" s="120">
        <v>127873</v>
      </c>
      <c r="C2598" s="121" t="s">
        <v>1620</v>
      </c>
      <c r="D2598" s="109">
        <f>SUMIF(B$3:B$3844,B2598,M$3:M$3844)/(SUMIF(B$3:B$3844,B2598,J$3:J$3844))</f>
        <v>0.5620239312301113</v>
      </c>
      <c r="E2598" s="91">
        <v>38649</v>
      </c>
      <c r="F2598" s="93" t="str">
        <f>"CALUSA ELEMENTARY SCHOOL"</f>
        <v>CALUSA ELEMENTARY SCHOOL</v>
      </c>
      <c r="G2598" s="94"/>
      <c r="H2598" s="92"/>
      <c r="I2598" s="95">
        <v>496</v>
      </c>
      <c r="J2598" s="95">
        <v>610</v>
      </c>
      <c r="K2598" s="118"/>
      <c r="L2598" s="119"/>
      <c r="M2598" s="110">
        <f>IF(L2598="",I2598,(MIN(J2598,(L2598*1.6*J2598))))</f>
        <v>496</v>
      </c>
      <c r="N2598" s="111">
        <f>IF(M2598=0,0,(M2598/J2598))</f>
        <v>0.81311475409836065</v>
      </c>
    </row>
    <row r="2599" spans="2:14">
      <c r="B2599" s="120">
        <v>127873</v>
      </c>
      <c r="C2599" s="121" t="s">
        <v>1620</v>
      </c>
      <c r="D2599" s="109">
        <f>SUMIF(B$3:B$3844,B2599,M$3:M$3844)/(SUMIF(B$3:B$3844,B2599,J$3:J$3844))</f>
        <v>0.5620239312301113</v>
      </c>
      <c r="E2599" s="91">
        <v>37542</v>
      </c>
      <c r="F2599" s="93" t="str">
        <f>"CENTENNIAL ELEMENTARY SCHOOL"</f>
        <v>CENTENNIAL ELEMENTARY SCHOOL</v>
      </c>
      <c r="G2599" s="94"/>
      <c r="H2599" s="92"/>
      <c r="I2599" s="95">
        <v>416</v>
      </c>
      <c r="J2599" s="95">
        <v>502</v>
      </c>
      <c r="K2599" s="118"/>
      <c r="L2599" s="119"/>
      <c r="M2599" s="110">
        <f>IF(L2599="",I2599,(MIN(J2599,(L2599*1.6*J2599))))</f>
        <v>416</v>
      </c>
      <c r="N2599" s="111">
        <f>IF(M2599=0,0,(M2599/J2599))</f>
        <v>0.82868525896414347</v>
      </c>
    </row>
    <row r="2600" spans="2:14">
      <c r="B2600" s="120">
        <v>127873</v>
      </c>
      <c r="C2600" s="121" t="s">
        <v>1620</v>
      </c>
      <c r="D2600" s="109">
        <f>SUMIF(B$3:B$3844,B2600,M$3:M$3844)/(SUMIF(B$3:B$3844,B2600,J$3:J$3844))</f>
        <v>0.5620239312301113</v>
      </c>
      <c r="E2600" s="91">
        <v>227090</v>
      </c>
      <c r="F2600" s="93" t="str">
        <f>"CENTENNIAL MIDDLE SCHOOL"</f>
        <v>CENTENNIAL MIDDLE SCHOOL</v>
      </c>
      <c r="G2600" s="94"/>
      <c r="H2600" s="92"/>
      <c r="I2600" s="95">
        <v>401</v>
      </c>
      <c r="J2600" s="95">
        <v>556</v>
      </c>
      <c r="K2600" s="118"/>
      <c r="L2600" s="119"/>
      <c r="M2600" s="110">
        <f>IF(L2600="",I2600,(MIN(J2600,(L2600*1.6*J2600))))</f>
        <v>401</v>
      </c>
      <c r="N2600" s="111">
        <f>IF(M2600=0,0,(M2600/J2600))</f>
        <v>0.72122302158273377</v>
      </c>
    </row>
    <row r="2601" spans="2:14">
      <c r="B2601" s="120">
        <v>127873</v>
      </c>
      <c r="C2601" s="121" t="s">
        <v>1620</v>
      </c>
      <c r="D2601" s="109">
        <f>SUMIF(B$3:B$3844,B2601,M$3:M$3844)/(SUMIF(B$3:B$3844,B2601,J$3:J$3844))</f>
        <v>0.5620239312301113</v>
      </c>
      <c r="E2601" s="91">
        <v>16041676</v>
      </c>
      <c r="F2601" s="93" t="str">
        <f>"CHARLES S. RUSHE MIDDLE SCHOOL"</f>
        <v>CHARLES S. RUSHE MIDDLE SCHOOL</v>
      </c>
      <c r="G2601" s="94"/>
      <c r="H2601" s="92"/>
      <c r="I2601" s="95">
        <v>442</v>
      </c>
      <c r="J2601" s="95">
        <v>1381</v>
      </c>
      <c r="K2601" s="118"/>
      <c r="L2601" s="119"/>
      <c r="M2601" s="110">
        <f>IF(L2601="",I2601,(MIN(J2601,(L2601*1.6*J2601))))</f>
        <v>442</v>
      </c>
      <c r="N2601" s="111">
        <f>IF(M2601=0,0,(M2601/J2601))</f>
        <v>0.32005792903692976</v>
      </c>
    </row>
    <row r="2602" spans="2:14">
      <c r="B2602" s="120">
        <v>127873</v>
      </c>
      <c r="C2602" s="121" t="s">
        <v>1620</v>
      </c>
      <c r="D2602" s="109">
        <f>SUMIF(B$3:B$3844,B2602,M$3:M$3844)/(SUMIF(B$3:B$3844,B2602,J$3:J$3844))</f>
        <v>0.5620239312301113</v>
      </c>
      <c r="E2602" s="91">
        <v>220855</v>
      </c>
      <c r="F2602" s="93" t="str">
        <f>"CHASCO ELEMENTARY SCHOOL"</f>
        <v>CHASCO ELEMENTARY SCHOOL</v>
      </c>
      <c r="G2602" s="94"/>
      <c r="H2602" s="92"/>
      <c r="I2602" s="95">
        <v>602</v>
      </c>
      <c r="J2602" s="95">
        <v>711</v>
      </c>
      <c r="K2602" s="118"/>
      <c r="L2602" s="119"/>
      <c r="M2602" s="110">
        <f>IF(L2602="",I2602,(MIN(J2602,(L2602*1.6*J2602))))</f>
        <v>602</v>
      </c>
      <c r="N2602" s="111">
        <f>IF(M2602=0,0,(M2602/J2602))</f>
        <v>0.84669479606188469</v>
      </c>
    </row>
    <row r="2603" spans="2:14">
      <c r="B2603" s="120">
        <v>127873</v>
      </c>
      <c r="C2603" s="121" t="s">
        <v>1620</v>
      </c>
      <c r="D2603" s="109">
        <f>SUMIF(B$3:B$3844,B2603,M$3:M$3844)/(SUMIF(B$3:B$3844,B2603,J$3:J$3844))</f>
        <v>0.5620239312301113</v>
      </c>
      <c r="E2603" s="91">
        <v>227088</v>
      </c>
      <c r="F2603" s="93" t="str">
        <f>"CHASCO MIDDLE SCHOOL"</f>
        <v>CHASCO MIDDLE SCHOOL</v>
      </c>
      <c r="G2603" s="94"/>
      <c r="H2603" s="92"/>
      <c r="I2603" s="95">
        <v>678</v>
      </c>
      <c r="J2603" s="95">
        <v>825</v>
      </c>
      <c r="K2603" s="118"/>
      <c r="L2603" s="119"/>
      <c r="M2603" s="110">
        <f>IF(L2603="",I2603,(MIN(J2603,(L2603*1.6*J2603))))</f>
        <v>678</v>
      </c>
      <c r="N2603" s="111">
        <f>IF(M2603=0,0,(M2603/J2603))</f>
        <v>0.82181818181818178</v>
      </c>
    </row>
    <row r="2604" spans="2:14">
      <c r="B2604" s="120">
        <v>127873</v>
      </c>
      <c r="C2604" s="121" t="s">
        <v>1620</v>
      </c>
      <c r="D2604" s="109">
        <f>SUMIF(B$3:B$3844,B2604,M$3:M$3844)/(SUMIF(B$3:B$3844,B2604,J$3:J$3844))</f>
        <v>0.5620239312301113</v>
      </c>
      <c r="E2604" s="91">
        <v>37562</v>
      </c>
      <c r="F2604" s="93" t="s">
        <v>2428</v>
      </c>
      <c r="G2604" s="94"/>
      <c r="H2604" s="92"/>
      <c r="I2604" s="95">
        <v>433</v>
      </c>
      <c r="J2604" s="95">
        <v>536</v>
      </c>
      <c r="K2604" s="118"/>
      <c r="L2604" s="119"/>
      <c r="M2604" s="110">
        <f>IF(L2604="",I2604,(MIN(J2604,(L2604*1.6*J2604))))</f>
        <v>433</v>
      </c>
      <c r="N2604" s="111">
        <f>IF(M2604=0,0,(M2604/J2604))</f>
        <v>0.80783582089552242</v>
      </c>
    </row>
    <row r="2605" spans="2:14">
      <c r="B2605" s="120">
        <v>127873</v>
      </c>
      <c r="C2605" s="121" t="s">
        <v>1620</v>
      </c>
      <c r="D2605" s="109">
        <f>SUMIF(B$3:B$3844,B2605,M$3:M$3844)/(SUMIF(B$3:B$3844,B2605,J$3:J$3844))</f>
        <v>0.5620239312301113</v>
      </c>
      <c r="E2605" s="91">
        <v>16057937</v>
      </c>
      <c r="F2605" s="93" t="str">
        <f>"CONNERTON ELEMENTARY SCHOOL"</f>
        <v>CONNERTON ELEMENTARY SCHOOL</v>
      </c>
      <c r="G2605" s="94"/>
      <c r="H2605" s="92"/>
      <c r="I2605" s="95">
        <v>233</v>
      </c>
      <c r="J2605" s="95">
        <v>806</v>
      </c>
      <c r="K2605" s="118"/>
      <c r="L2605" s="119"/>
      <c r="M2605" s="110">
        <f>IF(L2605="",I2605,(MIN(J2605,(L2605*1.6*J2605))))</f>
        <v>233</v>
      </c>
      <c r="N2605" s="111">
        <f>IF(M2605=0,0,(M2605/J2605))</f>
        <v>0.28908188585607941</v>
      </c>
    </row>
    <row r="2606" spans="2:14">
      <c r="B2606" s="120">
        <v>127873</v>
      </c>
      <c r="C2606" s="121" t="s">
        <v>1620</v>
      </c>
      <c r="D2606" s="109">
        <f>SUMIF(B$3:B$3844,B2606,M$3:M$3844)/(SUMIF(B$3:B$3844,B2606,J$3:J$3844))</f>
        <v>0.5620239312301113</v>
      </c>
      <c r="E2606" s="91">
        <v>38653</v>
      </c>
      <c r="F2606" s="93" t="str">
        <f>"COTEE RIVER ELEMENTARY SCHOOL"</f>
        <v>COTEE RIVER ELEMENTARY SCHOOL</v>
      </c>
      <c r="G2606" s="94"/>
      <c r="H2606" s="92"/>
      <c r="I2606" s="95">
        <v>497</v>
      </c>
      <c r="J2606" s="95">
        <v>667</v>
      </c>
      <c r="K2606" s="118"/>
      <c r="L2606" s="119"/>
      <c r="M2606" s="110">
        <f>IF(L2606="",I2606,(MIN(J2606,(L2606*1.6*J2606))))</f>
        <v>497</v>
      </c>
      <c r="N2606" s="111">
        <f>IF(M2606=0,0,(M2606/J2606))</f>
        <v>0.74512743628185907</v>
      </c>
    </row>
    <row r="2607" spans="2:14">
      <c r="B2607" s="120">
        <v>127873</v>
      </c>
      <c r="C2607" s="121" t="s">
        <v>1620</v>
      </c>
      <c r="D2607" s="109">
        <f>SUMIF(B$3:B$3844,B2607,M$3:M$3844)/(SUMIF(B$3:B$3844,B2607,J$3:J$3844))</f>
        <v>0.5620239312301113</v>
      </c>
      <c r="E2607" s="91">
        <v>16047523</v>
      </c>
      <c r="F2607" s="93" t="str">
        <f>"CREWS LAKE K-8 SCHOOL"</f>
        <v>CREWS LAKE K-8 SCHOOL</v>
      </c>
      <c r="G2607" s="94"/>
      <c r="H2607" s="92"/>
      <c r="I2607" s="95">
        <v>456</v>
      </c>
      <c r="J2607" s="95">
        <v>635</v>
      </c>
      <c r="K2607" s="118"/>
      <c r="L2607" s="119"/>
      <c r="M2607" s="110">
        <f>IF(L2607="",I2607,(MIN(J2607,(L2607*1.6*J2607))))</f>
        <v>456</v>
      </c>
      <c r="N2607" s="111">
        <f>IF(M2607=0,0,(M2607/J2607))</f>
        <v>0.71811023622047243</v>
      </c>
    </row>
    <row r="2608" spans="2:14">
      <c r="B2608" s="120">
        <v>127873</v>
      </c>
      <c r="C2608" s="121" t="s">
        <v>1620</v>
      </c>
      <c r="D2608" s="109">
        <f>SUMIF(B$3:B$3844,B2608,M$3:M$3844)/(SUMIF(B$3:B$3844,B2608,J$3:J$3844))</f>
        <v>0.5620239312301113</v>
      </c>
      <c r="E2608" s="91">
        <v>38662</v>
      </c>
      <c r="F2608" s="93" t="str">
        <f>"CYPRESS ELEMENTARY SCHOOL"</f>
        <v>CYPRESS ELEMENTARY SCHOOL</v>
      </c>
      <c r="G2608" s="94"/>
      <c r="H2608" s="92"/>
      <c r="I2608" s="95">
        <v>492</v>
      </c>
      <c r="J2608" s="95">
        <v>805</v>
      </c>
      <c r="K2608" s="118"/>
      <c r="L2608" s="119"/>
      <c r="M2608" s="110">
        <f>IF(L2608="",I2608,(MIN(J2608,(L2608*1.6*J2608))))</f>
        <v>492</v>
      </c>
      <c r="N2608" s="111">
        <f>IF(M2608=0,0,(M2608/J2608))</f>
        <v>0.61118012422360246</v>
      </c>
    </row>
    <row r="2609" spans="2:14">
      <c r="B2609" s="120">
        <v>127873</v>
      </c>
      <c r="C2609" s="121" t="s">
        <v>1620</v>
      </c>
      <c r="D2609" s="109">
        <f>SUMIF(B$3:B$3844,B2609,M$3:M$3844)/(SUMIF(B$3:B$3844,B2609,J$3:J$3844))</f>
        <v>0.5620239312301113</v>
      </c>
      <c r="E2609" s="91">
        <v>16075256</v>
      </c>
      <c r="F2609" s="93" t="str">
        <f>"DAYSPRING ACADEMY"</f>
        <v>DAYSPRING ACADEMY</v>
      </c>
      <c r="G2609" s="94"/>
      <c r="H2609" s="92"/>
      <c r="I2609" s="95">
        <v>310</v>
      </c>
      <c r="J2609" s="95">
        <v>648</v>
      </c>
      <c r="K2609" s="118"/>
      <c r="L2609" s="119"/>
      <c r="M2609" s="110">
        <f>IF(L2609="",I2609,(MIN(J2609,(L2609*1.6*J2609))))</f>
        <v>310</v>
      </c>
      <c r="N2609" s="111">
        <f>IF(M2609=0,0,(M2609/J2609))</f>
        <v>0.47839506172839508</v>
      </c>
    </row>
    <row r="2610" spans="2:14">
      <c r="B2610" s="120">
        <v>127873</v>
      </c>
      <c r="C2610" s="121" t="s">
        <v>1620</v>
      </c>
      <c r="D2610" s="109">
        <f>SUMIF(B$3:B$3844,B2610,M$3:M$3844)/(SUMIF(B$3:B$3844,B2610,J$3:J$3844))</f>
        <v>0.5620239312301113</v>
      </c>
      <c r="E2610" s="91">
        <v>38656</v>
      </c>
      <c r="F2610" s="93" t="str">
        <f>"DEER PARK ELEMENTARY SCHOOL"</f>
        <v>DEER PARK ELEMENTARY SCHOOL</v>
      </c>
      <c r="G2610" s="94"/>
      <c r="H2610" s="92"/>
      <c r="I2610" s="95">
        <v>289</v>
      </c>
      <c r="J2610" s="95">
        <v>593</v>
      </c>
      <c r="K2610" s="118"/>
      <c r="L2610" s="119"/>
      <c r="M2610" s="110">
        <f>IF(L2610="",I2610,(MIN(J2610,(L2610*1.6*J2610))))</f>
        <v>289</v>
      </c>
      <c r="N2610" s="111">
        <f>IF(M2610=0,0,(M2610/J2610))</f>
        <v>0.48735244519392917</v>
      </c>
    </row>
    <row r="2611" spans="2:14">
      <c r="B2611" s="120">
        <v>127873</v>
      </c>
      <c r="C2611" s="121" t="s">
        <v>1620</v>
      </c>
      <c r="D2611" s="109">
        <f>SUMIF(B$3:B$3844,B2611,M$3:M$3844)/(SUMIF(B$3:B$3844,B2611,J$3:J$3844))</f>
        <v>0.5620239312301113</v>
      </c>
      <c r="E2611" s="91">
        <v>37571</v>
      </c>
      <c r="F2611" s="93" t="str">
        <f>"DENHAM OAKS ELEMENTARY SCHOOL"</f>
        <v>DENHAM OAKS ELEMENTARY SCHOOL</v>
      </c>
      <c r="G2611" s="94"/>
      <c r="H2611" s="92"/>
      <c r="I2611" s="95">
        <v>275</v>
      </c>
      <c r="J2611" s="95">
        <v>640</v>
      </c>
      <c r="K2611" s="118"/>
      <c r="L2611" s="119"/>
      <c r="M2611" s="110">
        <f>IF(L2611="",I2611,(MIN(J2611,(L2611*1.6*J2611))))</f>
        <v>275</v>
      </c>
      <c r="N2611" s="111">
        <f>IF(M2611=0,0,(M2611/J2611))</f>
        <v>0.4296875</v>
      </c>
    </row>
    <row r="2612" spans="2:14">
      <c r="B2612" s="120">
        <v>127873</v>
      </c>
      <c r="C2612" s="121" t="s">
        <v>1620</v>
      </c>
      <c r="D2612" s="109">
        <f>SUMIF(B$3:B$3844,B2612,M$3:M$3844)/(SUMIF(B$3:B$3844,B2612,J$3:J$3844))</f>
        <v>0.5620239312301113</v>
      </c>
      <c r="E2612" s="91">
        <v>16041670</v>
      </c>
      <c r="F2612" s="93" t="s">
        <v>2429</v>
      </c>
      <c r="G2612" s="94"/>
      <c r="H2612" s="92"/>
      <c r="I2612" s="95">
        <v>300</v>
      </c>
      <c r="J2612" s="95">
        <v>878</v>
      </c>
      <c r="K2612" s="118"/>
      <c r="L2612" s="119"/>
      <c r="M2612" s="110">
        <f>IF(L2612="",I2612,(MIN(J2612,(L2612*1.6*J2612))))</f>
        <v>300</v>
      </c>
      <c r="N2612" s="111">
        <f>IF(M2612=0,0,(M2612/J2612))</f>
        <v>0.34168564920273348</v>
      </c>
    </row>
    <row r="2613" spans="2:14">
      <c r="B2613" s="120">
        <v>127873</v>
      </c>
      <c r="C2613" s="121" t="s">
        <v>1620</v>
      </c>
      <c r="D2613" s="109">
        <f>SUMIF(B$3:B$3844,B2613,M$3:M$3844)/(SUMIF(B$3:B$3844,B2613,J$3:J$3844))</f>
        <v>0.5620239312301113</v>
      </c>
      <c r="E2613" s="91">
        <v>16036227</v>
      </c>
      <c r="F2613" s="93" t="str">
        <f>"DR. JOHN LONG MIDDLE SCHOOL"</f>
        <v>DR. JOHN LONG MIDDLE SCHOOL</v>
      </c>
      <c r="G2613" s="94"/>
      <c r="H2613" s="92"/>
      <c r="I2613" s="95">
        <v>515</v>
      </c>
      <c r="J2613" s="95">
        <v>1728</v>
      </c>
      <c r="K2613" s="118"/>
      <c r="L2613" s="119"/>
      <c r="M2613" s="110">
        <f>IF(L2613="",I2613,(MIN(J2613,(L2613*1.6*J2613))))</f>
        <v>515</v>
      </c>
      <c r="N2613" s="111">
        <f>IF(M2613=0,0,(M2613/J2613))</f>
        <v>0.29803240740740738</v>
      </c>
    </row>
    <row r="2614" spans="2:14">
      <c r="B2614" s="120">
        <v>127873</v>
      </c>
      <c r="C2614" s="121" t="s">
        <v>1620</v>
      </c>
      <c r="D2614" s="109">
        <f>SUMIF(B$3:B$3844,B2614,M$3:M$3844)/(SUMIF(B$3:B$3844,B2614,J$3:J$3844))</f>
        <v>0.5620239312301113</v>
      </c>
      <c r="E2614" s="91">
        <v>38631</v>
      </c>
      <c r="F2614" s="93" t="s">
        <v>2430</v>
      </c>
      <c r="G2614" s="94"/>
      <c r="H2614" s="92"/>
      <c r="I2614" s="95">
        <v>555</v>
      </c>
      <c r="J2614" s="95">
        <v>706</v>
      </c>
      <c r="K2614" s="118"/>
      <c r="L2614" s="119"/>
      <c r="M2614" s="110">
        <f>IF(L2614="",I2614,(MIN(J2614,(L2614*1.6*J2614))))</f>
        <v>555</v>
      </c>
      <c r="N2614" s="111">
        <f>IF(M2614=0,0,(M2614/J2614))</f>
        <v>0.78611898016997173</v>
      </c>
    </row>
    <row r="2615" spans="2:14">
      <c r="B2615" s="120">
        <v>127873</v>
      </c>
      <c r="C2615" s="121" t="s">
        <v>1620</v>
      </c>
      <c r="D2615" s="109">
        <f>SUMIF(B$3:B$3844,B2615,M$3:M$3844)/(SUMIF(B$3:B$3844,B2615,J$3:J$3844))</f>
        <v>0.5620239312301113</v>
      </c>
      <c r="E2615" s="91">
        <v>16057940</v>
      </c>
      <c r="F2615" s="93" t="s">
        <v>2431</v>
      </c>
      <c r="G2615" s="94"/>
      <c r="H2615" s="92"/>
      <c r="I2615" s="95">
        <v>927</v>
      </c>
      <c r="J2615" s="95">
        <v>1346</v>
      </c>
      <c r="K2615" s="118"/>
      <c r="L2615" s="119"/>
      <c r="M2615" s="110">
        <f>IF(L2615="",I2615,(MIN(J2615,(L2615*1.6*J2615))))</f>
        <v>927</v>
      </c>
      <c r="N2615" s="111">
        <f>IF(M2615=0,0,(M2615/J2615))</f>
        <v>0.68870728083209509</v>
      </c>
    </row>
    <row r="2616" spans="2:14">
      <c r="B2616" s="120">
        <v>127873</v>
      </c>
      <c r="C2616" s="121" t="s">
        <v>1620</v>
      </c>
      <c r="D2616" s="109">
        <f>SUMIF(B$3:B$3844,B2616,M$3:M$3844)/(SUMIF(B$3:B$3844,B2616,J$3:J$3844))</f>
        <v>0.5620239312301113</v>
      </c>
      <c r="E2616" s="91">
        <v>38670</v>
      </c>
      <c r="F2616" s="93" t="str">
        <f>"FOX HOLLOW ELEMENTARY SCHOOL"</f>
        <v>FOX HOLLOW ELEMENTARY SCHOOL</v>
      </c>
      <c r="G2616" s="94"/>
      <c r="H2616" s="92"/>
      <c r="I2616" s="95">
        <v>507</v>
      </c>
      <c r="J2616" s="95">
        <v>574</v>
      </c>
      <c r="K2616" s="118"/>
      <c r="L2616" s="119"/>
      <c r="M2616" s="110">
        <f>IF(L2616="",I2616,(MIN(J2616,(L2616*1.6*J2616))))</f>
        <v>507</v>
      </c>
      <c r="N2616" s="111">
        <f>IF(M2616=0,0,(M2616/J2616))</f>
        <v>0.88327526132404177</v>
      </c>
    </row>
    <row r="2617" spans="2:14">
      <c r="B2617" s="120">
        <v>127873</v>
      </c>
      <c r="C2617" s="121" t="s">
        <v>1620</v>
      </c>
      <c r="D2617" s="109">
        <f>SUMIF(B$3:B$3844,B2617,M$3:M$3844)/(SUMIF(B$3:B$3844,B2617,J$3:J$3844))</f>
        <v>0.5620239312301113</v>
      </c>
      <c r="E2617" s="91">
        <v>38646</v>
      </c>
      <c r="F2617" s="93" t="s">
        <v>2432</v>
      </c>
      <c r="G2617" s="94"/>
      <c r="H2617" s="92"/>
      <c r="I2617" s="95">
        <v>839</v>
      </c>
      <c r="J2617" s="95">
        <v>1242</v>
      </c>
      <c r="K2617" s="118"/>
      <c r="L2617" s="119"/>
      <c r="M2617" s="110">
        <f>IF(L2617="",I2617,(MIN(J2617,(L2617*1.6*J2617))))</f>
        <v>839</v>
      </c>
      <c r="N2617" s="111">
        <f>IF(M2617=0,0,(M2617/J2617))</f>
        <v>0.67552334943639292</v>
      </c>
    </row>
    <row r="2618" spans="2:14">
      <c r="B2618" s="120">
        <v>127873</v>
      </c>
      <c r="C2618" s="121" t="s">
        <v>1620</v>
      </c>
      <c r="D2618" s="109">
        <f>SUMIF(B$3:B$3844,B2618,M$3:M$3844)/(SUMIF(B$3:B$3844,B2618,J$3:J$3844))</f>
        <v>0.5620239312301113</v>
      </c>
      <c r="E2618" s="91">
        <v>16036224</v>
      </c>
      <c r="F2618" s="93" t="s">
        <v>2433</v>
      </c>
      <c r="G2618" s="94"/>
      <c r="H2618" s="92"/>
      <c r="I2618" s="95">
        <v>547</v>
      </c>
      <c r="J2618" s="95">
        <v>623</v>
      </c>
      <c r="K2618" s="118"/>
      <c r="L2618" s="119"/>
      <c r="M2618" s="110">
        <f>IF(L2618="",I2618,(MIN(J2618,(L2618*1.6*J2618))))</f>
        <v>547</v>
      </c>
      <c r="N2618" s="111">
        <f>IF(M2618=0,0,(M2618/J2618))</f>
        <v>0.8780096308186196</v>
      </c>
    </row>
    <row r="2619" spans="2:14">
      <c r="B2619" s="120">
        <v>127873</v>
      </c>
      <c r="C2619" s="121" t="s">
        <v>1620</v>
      </c>
      <c r="D2619" s="109">
        <f>SUMIF(B$3:B$3844,B2619,M$3:M$3844)/(SUMIF(B$3:B$3844,B2619,J$3:J$3844))</f>
        <v>0.5620239312301113</v>
      </c>
      <c r="E2619" s="91">
        <v>38652</v>
      </c>
      <c r="F2619" s="93" t="str">
        <f>"GULF MIDDLE SCHOOL"</f>
        <v>GULF MIDDLE SCHOOL</v>
      </c>
      <c r="G2619" s="94"/>
      <c r="H2619" s="92"/>
      <c r="I2619" s="95">
        <v>652</v>
      </c>
      <c r="J2619" s="95">
        <v>785</v>
      </c>
      <c r="K2619" s="118"/>
      <c r="L2619" s="119"/>
      <c r="M2619" s="110">
        <f>IF(L2619="",I2619,(MIN(J2619,(L2619*1.6*J2619))))</f>
        <v>652</v>
      </c>
      <c r="N2619" s="111">
        <f>IF(M2619=0,0,(M2619/J2619))</f>
        <v>0.83057324840764335</v>
      </c>
    </row>
    <row r="2620" spans="2:14">
      <c r="B2620" s="120">
        <v>127873</v>
      </c>
      <c r="C2620" s="121" t="s">
        <v>1620</v>
      </c>
      <c r="D2620" s="109">
        <f>SUMIF(B$3:B$3844,B2620,M$3:M$3844)/(SUMIF(B$3:B$3844,B2620,J$3:J$3844))</f>
        <v>0.5620239312301113</v>
      </c>
      <c r="E2620" s="91">
        <v>16041673</v>
      </c>
      <c r="F2620" s="93" t="str">
        <f>"GULF TRACE ELEMENTARY SCHOOL"</f>
        <v>GULF TRACE ELEMENTARY SCHOOL</v>
      </c>
      <c r="G2620" s="94"/>
      <c r="H2620" s="92"/>
      <c r="I2620" s="95">
        <v>572</v>
      </c>
      <c r="J2620" s="95">
        <v>711</v>
      </c>
      <c r="K2620" s="118"/>
      <c r="L2620" s="119"/>
      <c r="M2620" s="110">
        <f>IF(L2620="",I2620,(MIN(J2620,(L2620*1.6*J2620))))</f>
        <v>572</v>
      </c>
      <c r="N2620" s="111">
        <f>IF(M2620=0,0,(M2620/J2620))</f>
        <v>0.80450070323488043</v>
      </c>
    </row>
    <row r="2621" spans="2:14">
      <c r="B2621" s="120">
        <v>127873</v>
      </c>
      <c r="C2621" s="121" t="s">
        <v>1620</v>
      </c>
      <c r="D2621" s="109">
        <f>SUMIF(B$3:B$3844,B2621,M$3:M$3844)/(SUMIF(B$3:B$3844,B2621,J$3:J$3844))</f>
        <v>0.5620239312301113</v>
      </c>
      <c r="E2621" s="91">
        <v>38708</v>
      </c>
      <c r="F2621" s="93" t="str">
        <f>"GULFSIDE ELEMENTARY SCHOOL"</f>
        <v>GULFSIDE ELEMENTARY SCHOOL</v>
      </c>
      <c r="G2621" s="94"/>
      <c r="H2621" s="92"/>
      <c r="I2621" s="95">
        <v>435</v>
      </c>
      <c r="J2621" s="95">
        <v>491</v>
      </c>
      <c r="K2621" s="118"/>
      <c r="L2621" s="119"/>
      <c r="M2621" s="110">
        <f>IF(L2621="",I2621,(MIN(J2621,(L2621*1.6*J2621))))</f>
        <v>435</v>
      </c>
      <c r="N2621" s="111">
        <f>IF(M2621=0,0,(M2621/J2621))</f>
        <v>0.88594704684317716</v>
      </c>
    </row>
    <row r="2622" spans="2:14">
      <c r="B2622" s="120">
        <v>127873</v>
      </c>
      <c r="C2622" s="121" t="s">
        <v>1620</v>
      </c>
      <c r="D2622" s="109">
        <f>SUMIF(B$3:B$3844,B2622,M$3:M$3844)/(SUMIF(B$3:B$3844,B2622,J$3:J$3844))</f>
        <v>0.5620239312301113</v>
      </c>
      <c r="E2622" s="91">
        <v>38666</v>
      </c>
      <c r="F2622" s="93" t="str">
        <f>"HUDSON ELEMENTARY SCHOOL"</f>
        <v>HUDSON ELEMENTARY SCHOOL</v>
      </c>
      <c r="G2622" s="94"/>
      <c r="H2622" s="92"/>
      <c r="I2622" s="95">
        <v>494</v>
      </c>
      <c r="J2622" s="95">
        <v>596</v>
      </c>
      <c r="K2622" s="118"/>
      <c r="L2622" s="119"/>
      <c r="M2622" s="110">
        <f>IF(L2622="",I2622,(MIN(J2622,(L2622*1.6*J2622))))</f>
        <v>494</v>
      </c>
      <c r="N2622" s="111">
        <f>IF(M2622=0,0,(M2622/J2622))</f>
        <v>0.82885906040268453</v>
      </c>
    </row>
    <row r="2623" spans="2:14">
      <c r="B2623" s="120">
        <v>127873</v>
      </c>
      <c r="C2623" s="121" t="s">
        <v>1620</v>
      </c>
      <c r="D2623" s="109">
        <f>SUMIF(B$3:B$3844,B2623,M$3:M$3844)/(SUMIF(B$3:B$3844,B2623,J$3:J$3844))</f>
        <v>0.5620239312301113</v>
      </c>
      <c r="E2623" s="91">
        <v>38671</v>
      </c>
      <c r="F2623" s="93" t="s">
        <v>2434</v>
      </c>
      <c r="G2623" s="94"/>
      <c r="H2623" s="92"/>
      <c r="I2623" s="95">
        <v>816</v>
      </c>
      <c r="J2623" s="95">
        <v>1199</v>
      </c>
      <c r="K2623" s="118"/>
      <c r="L2623" s="119"/>
      <c r="M2623" s="110">
        <f>IF(L2623="",I2623,(MIN(J2623,(L2623*1.6*J2623))))</f>
        <v>816</v>
      </c>
      <c r="N2623" s="111">
        <f>IF(M2623=0,0,(M2623/J2623))</f>
        <v>0.6805671392827356</v>
      </c>
    </row>
    <row r="2624" spans="2:14">
      <c r="B2624" s="120">
        <v>127873</v>
      </c>
      <c r="C2624" s="121" t="s">
        <v>1620</v>
      </c>
      <c r="D2624" s="109">
        <f>SUMIF(B$3:B$3844,B2624,M$3:M$3844)/(SUMIF(B$3:B$3844,B2624,J$3:J$3844))</f>
        <v>0.5620239312301113</v>
      </c>
      <c r="E2624" s="91">
        <v>38673</v>
      </c>
      <c r="F2624" s="93" t="str">
        <f>"HUDSON MIDDLE SCHOOL"</f>
        <v>HUDSON MIDDLE SCHOOL</v>
      </c>
      <c r="G2624" s="94"/>
      <c r="H2624" s="92"/>
      <c r="I2624" s="95">
        <v>597</v>
      </c>
      <c r="J2624" s="95">
        <v>746</v>
      </c>
      <c r="K2624" s="118"/>
      <c r="L2624" s="119"/>
      <c r="M2624" s="110">
        <f>IF(L2624="",I2624,(MIN(J2624,(L2624*1.6*J2624))))</f>
        <v>597</v>
      </c>
      <c r="N2624" s="111">
        <f>IF(M2624=0,0,(M2624/J2624))</f>
        <v>0.80026809651474529</v>
      </c>
    </row>
    <row r="2625" spans="2:14">
      <c r="B2625" s="120">
        <v>127873</v>
      </c>
      <c r="C2625" s="121" t="s">
        <v>1620</v>
      </c>
      <c r="D2625" s="109">
        <f>SUMIF(B$3:B$3844,B2625,M$3:M$3844)/(SUMIF(B$3:B$3844,B2625,J$3:J$3844))</f>
        <v>0.5620239312301113</v>
      </c>
      <c r="E2625" s="91">
        <v>16046586</v>
      </c>
      <c r="F2625" s="93" t="s">
        <v>2435</v>
      </c>
      <c r="G2625" s="94"/>
      <c r="H2625" s="92"/>
      <c r="I2625" s="95">
        <v>133</v>
      </c>
      <c r="J2625" s="95">
        <v>749</v>
      </c>
      <c r="K2625" s="118"/>
      <c r="L2625" s="119"/>
      <c r="M2625" s="110">
        <f>IF(L2625="",I2625,(MIN(J2625,(L2625*1.6*J2625))))</f>
        <v>133</v>
      </c>
      <c r="N2625" s="111">
        <f>IF(M2625=0,0,(M2625/J2625))</f>
        <v>0.17757009345794392</v>
      </c>
    </row>
    <row r="2626" spans="2:14">
      <c r="B2626" s="120">
        <v>127873</v>
      </c>
      <c r="C2626" s="121" t="s">
        <v>1620</v>
      </c>
      <c r="D2626" s="109">
        <f>SUMIF(B$3:B$3844,B2626,M$3:M$3844)/(SUMIF(B$3:B$3844,B2626,J$3:J$3844))</f>
        <v>0.5620239312301113</v>
      </c>
      <c r="E2626" s="91">
        <v>37549</v>
      </c>
      <c r="F2626" s="93" t="str">
        <f>"JAMES IRVIN EDUCATION CENTER"</f>
        <v>JAMES IRVIN EDUCATION CENTER</v>
      </c>
      <c r="G2626" s="94"/>
      <c r="H2626" s="92"/>
      <c r="I2626" s="95">
        <v>140</v>
      </c>
      <c r="J2626" s="95">
        <v>157</v>
      </c>
      <c r="K2626" s="118"/>
      <c r="L2626" s="119"/>
      <c r="M2626" s="110">
        <f>IF(L2626="",I2626,(MIN(J2626,(L2626*1.6*J2626))))</f>
        <v>140</v>
      </c>
      <c r="N2626" s="111">
        <f>IF(M2626=0,0,(M2626/J2626))</f>
        <v>0.89171974522292996</v>
      </c>
    </row>
    <row r="2627" spans="2:14">
      <c r="B2627" s="120">
        <v>127873</v>
      </c>
      <c r="C2627" s="121" t="s">
        <v>1620</v>
      </c>
      <c r="D2627" s="109">
        <f>SUMIF(B$3:B$3844,B2627,M$3:M$3844)/(SUMIF(B$3:B$3844,B2627,J$3:J$3844))</f>
        <v>0.5620239312301113</v>
      </c>
      <c r="E2627" s="91">
        <v>211085</v>
      </c>
      <c r="F2627" s="93" t="s">
        <v>2436</v>
      </c>
      <c r="G2627" s="94"/>
      <c r="H2627" s="92"/>
      <c r="I2627" s="95">
        <v>410</v>
      </c>
      <c r="J2627" s="95">
        <v>466</v>
      </c>
      <c r="K2627" s="118"/>
      <c r="L2627" s="119"/>
      <c r="M2627" s="110">
        <f>IF(L2627="",I2627,(MIN(J2627,(L2627*1.6*J2627))))</f>
        <v>410</v>
      </c>
      <c r="N2627" s="111">
        <f>IF(M2627=0,0,(M2627/J2627))</f>
        <v>0.87982832618025753</v>
      </c>
    </row>
    <row r="2628" spans="2:14">
      <c r="B2628" s="120">
        <v>127873</v>
      </c>
      <c r="C2628" s="121" t="s">
        <v>1620</v>
      </c>
      <c r="D2628" s="109">
        <f>SUMIF(B$3:B$3844,B2628,M$3:M$3844)/(SUMIF(B$3:B$3844,B2628,J$3:J$3844))</f>
        <v>0.5620239312301113</v>
      </c>
      <c r="E2628" s="91">
        <v>228377</v>
      </c>
      <c r="F2628" s="93" t="s">
        <v>2437</v>
      </c>
      <c r="G2628" s="94"/>
      <c r="H2628" s="92"/>
      <c r="I2628" s="95"/>
      <c r="J2628" s="95"/>
      <c r="K2628" s="118"/>
      <c r="L2628" s="119"/>
      <c r="M2628" s="110">
        <f>IF(L2628="",I2628,(MIN(J2628,(L2628*1.6*J2628))))</f>
        <v>0</v>
      </c>
      <c r="N2628" s="111">
        <f>IF(M2628=0,0,(M2628/J2628))</f>
        <v>0</v>
      </c>
    </row>
    <row r="2629" spans="2:14">
      <c r="B2629" s="120">
        <v>127873</v>
      </c>
      <c r="C2629" s="121" t="s">
        <v>1620</v>
      </c>
      <c r="D2629" s="109">
        <f>SUMIF(B$3:B$3844,B2629,M$3:M$3844)/(SUMIF(B$3:B$3844,B2629,J$3:J$3844))</f>
        <v>0.5620239312301113</v>
      </c>
      <c r="E2629" s="91">
        <v>220857</v>
      </c>
      <c r="F2629" s="93" t="str">
        <f>"JAMES W. MITCHELL HIGH SCHOOL"</f>
        <v>JAMES W. MITCHELL HIGH SCHOOL</v>
      </c>
      <c r="G2629" s="94"/>
      <c r="H2629" s="92"/>
      <c r="I2629" s="95">
        <v>580</v>
      </c>
      <c r="J2629" s="95">
        <v>1999</v>
      </c>
      <c r="K2629" s="118"/>
      <c r="L2629" s="119"/>
      <c r="M2629" s="110">
        <f>IF(L2629="",I2629,(MIN(J2629,(L2629*1.6*J2629))))</f>
        <v>580</v>
      </c>
      <c r="N2629" s="111">
        <f>IF(M2629=0,0,(M2629/J2629))</f>
        <v>0.29014507253626814</v>
      </c>
    </row>
    <row r="2630" spans="2:14">
      <c r="B2630" s="120">
        <v>127873</v>
      </c>
      <c r="C2630" s="121" t="s">
        <v>1620</v>
      </c>
      <c r="D2630" s="109">
        <f>SUMIF(B$3:B$3844,B2630,M$3:M$3844)/(SUMIF(B$3:B$3844,B2630,J$3:J$3844))</f>
        <v>0.5620239312301113</v>
      </c>
      <c r="E2630" s="91">
        <v>228386</v>
      </c>
      <c r="F2630" s="93" t="str">
        <f>"JUVENILE DETENTION CENTER"</f>
        <v>JUVENILE DETENTION CENTER</v>
      </c>
      <c r="G2630" s="94"/>
      <c r="H2630" s="92"/>
      <c r="I2630" s="95">
        <v>10</v>
      </c>
      <c r="J2630" s="95">
        <v>30</v>
      </c>
      <c r="K2630" s="118"/>
      <c r="L2630" s="119"/>
      <c r="M2630" s="110">
        <f>IF(L2630="",I2630,(MIN(J2630,(L2630*1.6*J2630))))</f>
        <v>10</v>
      </c>
      <c r="N2630" s="111">
        <f>IF(M2630=0,0,(M2630/J2630))</f>
        <v>0.33333333333333331</v>
      </c>
    </row>
    <row r="2631" spans="2:14">
      <c r="B2631" s="120">
        <v>127873</v>
      </c>
      <c r="C2631" s="121" t="s">
        <v>1620</v>
      </c>
      <c r="D2631" s="109">
        <f>SUMIF(B$3:B$3844,B2631,M$3:M$3844)/(SUMIF(B$3:B$3844,B2631,J$3:J$3844))</f>
        <v>0.5620239312301113</v>
      </c>
      <c r="E2631" s="91">
        <v>37539</v>
      </c>
      <c r="F2631" s="93" t="str">
        <f>"LACOOCHEE ELEMENTARY SCHOOL"</f>
        <v>LACOOCHEE ELEMENTARY SCHOOL</v>
      </c>
      <c r="G2631" s="94"/>
      <c r="H2631" s="92"/>
      <c r="I2631" s="95">
        <v>371</v>
      </c>
      <c r="J2631" s="95">
        <v>381</v>
      </c>
      <c r="K2631" s="118"/>
      <c r="L2631" s="119"/>
      <c r="M2631" s="110">
        <f>IF(L2631="",I2631,(MIN(J2631,(L2631*1.6*J2631))))</f>
        <v>371</v>
      </c>
      <c r="N2631" s="111">
        <f>IF(M2631=0,0,(M2631/J2631))</f>
        <v>0.97375328083989499</v>
      </c>
    </row>
    <row r="2632" spans="2:14">
      <c r="B2632" s="120">
        <v>127873</v>
      </c>
      <c r="C2632" s="121" t="s">
        <v>1620</v>
      </c>
      <c r="D2632" s="109">
        <f>SUMIF(B$3:B$3844,B2632,M$3:M$3844)/(SUMIF(B$3:B$3844,B2632,J$3:J$3844))</f>
        <v>0.5620239312301113</v>
      </c>
      <c r="E2632" s="91">
        <v>38642</v>
      </c>
      <c r="F2632" s="93" t="str">
        <f>"LAKE MYRTLE ELEMENTARY SCHOOL"</f>
        <v>LAKE MYRTLE ELEMENTARY SCHOOL</v>
      </c>
      <c r="G2632" s="94"/>
      <c r="H2632" s="92"/>
      <c r="I2632" s="95">
        <v>228</v>
      </c>
      <c r="J2632" s="95">
        <v>615</v>
      </c>
      <c r="K2632" s="118"/>
      <c r="L2632" s="119"/>
      <c r="M2632" s="110">
        <f>IF(L2632="",I2632,(MIN(J2632,(L2632*1.6*J2632))))</f>
        <v>228</v>
      </c>
      <c r="N2632" s="111">
        <f>IF(M2632=0,0,(M2632/J2632))</f>
        <v>0.37073170731707317</v>
      </c>
    </row>
    <row r="2633" spans="2:14">
      <c r="B2633" s="120">
        <v>127873</v>
      </c>
      <c r="C2633" s="121" t="s">
        <v>1620</v>
      </c>
      <c r="D2633" s="109">
        <f>SUMIF(B$3:B$3844,B2633,M$3:M$3844)/(SUMIF(B$3:B$3844,B2633,J$3:J$3844))</f>
        <v>0.5620239312301113</v>
      </c>
      <c r="E2633" s="91">
        <v>38636</v>
      </c>
      <c r="F2633" s="93" t="str">
        <f>"LAND O' LAKES HIGH SCHOOL"</f>
        <v>LAND O' LAKES HIGH SCHOOL</v>
      </c>
      <c r="G2633" s="94"/>
      <c r="H2633" s="92"/>
      <c r="I2633" s="95">
        <v>532</v>
      </c>
      <c r="J2633" s="95">
        <v>1731</v>
      </c>
      <c r="K2633" s="118"/>
      <c r="L2633" s="119"/>
      <c r="M2633" s="110">
        <f>IF(L2633="",I2633,(MIN(J2633,(L2633*1.6*J2633))))</f>
        <v>532</v>
      </c>
      <c r="N2633" s="111">
        <f>IF(M2633=0,0,(M2633/J2633))</f>
        <v>0.30733679953783938</v>
      </c>
    </row>
    <row r="2634" spans="2:14">
      <c r="B2634" s="120">
        <v>127873</v>
      </c>
      <c r="C2634" s="121" t="s">
        <v>1620</v>
      </c>
      <c r="D2634" s="109">
        <f>SUMIF(B$3:B$3844,B2634,M$3:M$3844)/(SUMIF(B$3:B$3844,B2634,J$3:J$3844))</f>
        <v>0.5620239312301113</v>
      </c>
      <c r="E2634" s="91">
        <v>16031241</v>
      </c>
      <c r="F2634" s="93" t="str">
        <f>"LONGLEAF ELEMENTARY SCHOOL"</f>
        <v>LONGLEAF ELEMENTARY SCHOOL</v>
      </c>
      <c r="G2634" s="94"/>
      <c r="H2634" s="92"/>
      <c r="I2634" s="95">
        <v>215</v>
      </c>
      <c r="J2634" s="95">
        <v>659</v>
      </c>
      <c r="K2634" s="118"/>
      <c r="L2634" s="119"/>
      <c r="M2634" s="110">
        <f>IF(L2634="",I2634,(MIN(J2634,(L2634*1.6*J2634))))</f>
        <v>215</v>
      </c>
      <c r="N2634" s="111">
        <f>IF(M2634=0,0,(M2634/J2634))</f>
        <v>0.32625189681335359</v>
      </c>
    </row>
    <row r="2635" spans="2:14">
      <c r="B2635" s="120">
        <v>127873</v>
      </c>
      <c r="C2635" s="121" t="s">
        <v>1620</v>
      </c>
      <c r="D2635" s="109">
        <f>SUMIF(B$3:B$3844,B2635,M$3:M$3844)/(SUMIF(B$3:B$3844,B2635,J$3:J$3844))</f>
        <v>0.5620239312301113</v>
      </c>
      <c r="E2635" s="91">
        <v>38648</v>
      </c>
      <c r="F2635" s="93" t="s">
        <v>2438</v>
      </c>
      <c r="G2635" s="94"/>
      <c r="H2635" s="92"/>
      <c r="I2635" s="95">
        <v>35</v>
      </c>
      <c r="J2635" s="95">
        <v>60</v>
      </c>
      <c r="K2635" s="118"/>
      <c r="L2635" s="119"/>
      <c r="M2635" s="110">
        <f>IF(L2635="",I2635,(MIN(J2635,(L2635*1.6*J2635))))</f>
        <v>35</v>
      </c>
      <c r="N2635" s="111">
        <f>IF(M2635=0,0,(M2635/J2635))</f>
        <v>0.58333333333333337</v>
      </c>
    </row>
    <row r="2636" spans="2:14">
      <c r="B2636" s="120">
        <v>127873</v>
      </c>
      <c r="C2636" s="121" t="s">
        <v>1620</v>
      </c>
      <c r="D2636" s="109">
        <f>SUMIF(B$3:B$3844,B2636,M$3:M$3844)/(SUMIF(B$3:B$3844,B2636,J$3:J$3844))</f>
        <v>0.5620239312301113</v>
      </c>
      <c r="E2636" s="91">
        <v>38679</v>
      </c>
      <c r="F2636" s="93" t="s">
        <v>2439</v>
      </c>
      <c r="G2636" s="94"/>
      <c r="H2636" s="92"/>
      <c r="I2636" s="95">
        <v>474</v>
      </c>
      <c r="J2636" s="95">
        <v>579</v>
      </c>
      <c r="K2636" s="118"/>
      <c r="L2636" s="119"/>
      <c r="M2636" s="110">
        <f>IF(L2636="",I2636,(MIN(J2636,(L2636*1.6*J2636))))</f>
        <v>474</v>
      </c>
      <c r="N2636" s="111">
        <f>IF(M2636=0,0,(M2636/J2636))</f>
        <v>0.81865284974093266</v>
      </c>
    </row>
    <row r="2637" spans="2:14">
      <c r="B2637" s="120">
        <v>127873</v>
      </c>
      <c r="C2637" s="121" t="s">
        <v>1620</v>
      </c>
      <c r="D2637" s="109">
        <f>SUMIF(B$3:B$3844,B2637,M$3:M$3844)/(SUMIF(B$3:B$3844,B2637,J$3:J$3844))</f>
        <v>0.5620239312301113</v>
      </c>
      <c r="E2637" s="91">
        <v>38657</v>
      </c>
      <c r="F2637" s="93" t="str">
        <f>"MOON LAKE ELEMENTARY SCHOOL"</f>
        <v>MOON LAKE ELEMENTARY SCHOOL</v>
      </c>
      <c r="G2637" s="94"/>
      <c r="H2637" s="92"/>
      <c r="I2637" s="95">
        <v>474</v>
      </c>
      <c r="J2637" s="95">
        <v>587</v>
      </c>
      <c r="K2637" s="118"/>
      <c r="L2637" s="119"/>
      <c r="M2637" s="110">
        <f>IF(L2637="",I2637,(MIN(J2637,(L2637*1.6*J2637))))</f>
        <v>474</v>
      </c>
      <c r="N2637" s="111">
        <f>IF(M2637=0,0,(M2637/J2637))</f>
        <v>0.80749574105621802</v>
      </c>
    </row>
    <row r="2638" spans="2:14">
      <c r="B2638" s="120">
        <v>127873</v>
      </c>
      <c r="C2638" s="121" t="s">
        <v>1620</v>
      </c>
      <c r="D2638" s="109">
        <f>SUMIF(B$3:B$3844,B2638,M$3:M$3844)/(SUMIF(B$3:B$3844,B2638,J$3:J$3844))</f>
        <v>0.5620239312301113</v>
      </c>
      <c r="E2638" s="91">
        <v>37540</v>
      </c>
      <c r="F2638" s="93" t="str">
        <f>"MOORE-MICKENS EDUCATION CENTER"</f>
        <v>MOORE-MICKENS EDUCATION CENTER</v>
      </c>
      <c r="G2638" s="94"/>
      <c r="H2638" s="92"/>
      <c r="I2638" s="95"/>
      <c r="J2638" s="95"/>
      <c r="K2638" s="118"/>
      <c r="L2638" s="119"/>
      <c r="M2638" s="110">
        <f>IF(L2638="",I2638,(MIN(J2638,(L2638*1.6*J2638))))</f>
        <v>0</v>
      </c>
      <c r="N2638" s="111">
        <f>IF(M2638=0,0,(M2638/J2638))</f>
        <v>0</v>
      </c>
    </row>
    <row r="2639" spans="2:14">
      <c r="B2639" s="120">
        <v>127873</v>
      </c>
      <c r="C2639" s="121" t="s">
        <v>1620</v>
      </c>
      <c r="D2639" s="109">
        <f>SUMIF(B$3:B$3844,B2639,M$3:M$3844)/(SUMIF(B$3:B$3844,B2639,J$3:J$3844))</f>
        <v>0.5620239312301113</v>
      </c>
      <c r="E2639" s="91">
        <v>16041672</v>
      </c>
      <c r="F2639" s="93" t="str">
        <f>"NEW RIVER ELEMENTARY SCHOOL"</f>
        <v>NEW RIVER ELEMENTARY SCHOOL</v>
      </c>
      <c r="G2639" s="94"/>
      <c r="H2639" s="92"/>
      <c r="I2639" s="95">
        <v>368</v>
      </c>
      <c r="J2639" s="95">
        <v>689</v>
      </c>
      <c r="K2639" s="118"/>
      <c r="L2639" s="119"/>
      <c r="M2639" s="110">
        <f>IF(L2639="",I2639,(MIN(J2639,(L2639*1.6*J2639))))</f>
        <v>368</v>
      </c>
      <c r="N2639" s="111">
        <f>IF(M2639=0,0,(M2639/J2639))</f>
        <v>0.5341074020319303</v>
      </c>
    </row>
    <row r="2640" spans="2:14">
      <c r="B2640" s="120">
        <v>127873</v>
      </c>
      <c r="C2640" s="121" t="s">
        <v>1620</v>
      </c>
      <c r="D2640" s="109">
        <f>SUMIF(B$3:B$3844,B2640,M$3:M$3844)/(SUMIF(B$3:B$3844,B2640,J$3:J$3844))</f>
        <v>0.5620239312301113</v>
      </c>
      <c r="E2640" s="91">
        <v>38672</v>
      </c>
      <c r="F2640" s="93" t="str">
        <f>"NORTHWEST ELEMENTARY SCHOOL"</f>
        <v>NORTHWEST ELEMENTARY SCHOOL</v>
      </c>
      <c r="G2640" s="94"/>
      <c r="H2640" s="92"/>
      <c r="I2640" s="95">
        <v>614</v>
      </c>
      <c r="J2640" s="95">
        <v>671</v>
      </c>
      <c r="K2640" s="118"/>
      <c r="L2640" s="119"/>
      <c r="M2640" s="110">
        <f>IF(L2640="",I2640,(MIN(J2640,(L2640*1.6*J2640))))</f>
        <v>614</v>
      </c>
      <c r="N2640" s="111">
        <f>IF(M2640=0,0,(M2640/J2640))</f>
        <v>0.91505216095380026</v>
      </c>
    </row>
    <row r="2641" spans="2:14">
      <c r="B2641" s="120">
        <v>127873</v>
      </c>
      <c r="C2641" s="121" t="s">
        <v>1620</v>
      </c>
      <c r="D2641" s="109">
        <f>SUMIF(B$3:B$3844,B2641,M$3:M$3844)/(SUMIF(B$3:B$3844,B2641,J$3:J$3844))</f>
        <v>0.5620239312301113</v>
      </c>
      <c r="E2641" s="91">
        <v>16036226</v>
      </c>
      <c r="F2641" s="93" t="str">
        <f>"OAKSTEAD ELEMENTARY SCHOOL"</f>
        <v>OAKSTEAD ELEMENTARY SCHOOL</v>
      </c>
      <c r="G2641" s="94"/>
      <c r="H2641" s="92"/>
      <c r="I2641" s="95">
        <v>320</v>
      </c>
      <c r="J2641" s="95">
        <v>1045</v>
      </c>
      <c r="K2641" s="118"/>
      <c r="L2641" s="119"/>
      <c r="M2641" s="110">
        <f>IF(L2641="",I2641,(MIN(J2641,(L2641*1.6*J2641))))</f>
        <v>320</v>
      </c>
      <c r="N2641" s="111">
        <f>IF(M2641=0,0,(M2641/J2641))</f>
        <v>0.30622009569377989</v>
      </c>
    </row>
    <row r="2642" spans="2:14">
      <c r="B2642" s="120">
        <v>127873</v>
      </c>
      <c r="C2642" s="121" t="s">
        <v>1620</v>
      </c>
      <c r="D2642" s="109">
        <f>SUMIF(B$3:B$3844,B2642,M$3:M$3844)/(SUMIF(B$3:B$3844,B2642,J$3:J$3844))</f>
        <v>0.5620239312301113</v>
      </c>
      <c r="E2642" s="91">
        <v>16057939</v>
      </c>
      <c r="F2642" s="93" t="str">
        <f>"ODESSA ELEMENTARY SCHOOL"</f>
        <v>ODESSA ELEMENTARY SCHOOL</v>
      </c>
      <c r="G2642" s="94"/>
      <c r="H2642" s="92"/>
      <c r="I2642" s="95">
        <v>266</v>
      </c>
      <c r="J2642" s="95">
        <v>930</v>
      </c>
      <c r="K2642" s="118"/>
      <c r="L2642" s="119"/>
      <c r="M2642" s="110">
        <f>IF(L2642="",I2642,(MIN(J2642,(L2642*1.6*J2642))))</f>
        <v>266</v>
      </c>
      <c r="N2642" s="111">
        <f>IF(M2642=0,0,(M2642/J2642))</f>
        <v>0.28602150537634408</v>
      </c>
    </row>
    <row r="2643" spans="2:14">
      <c r="B2643" s="120">
        <v>127873</v>
      </c>
      <c r="C2643" s="121" t="s">
        <v>1620</v>
      </c>
      <c r="D2643" s="109">
        <f>SUMIF(B$3:B$3844,B2643,M$3:M$3844)/(SUMIF(B$3:B$3844,B2643,J$3:J$3844))</f>
        <v>0.5620239312301113</v>
      </c>
      <c r="E2643" s="91">
        <v>228381</v>
      </c>
      <c r="F2643" s="93" t="str">
        <f>"PACE CENTER FOR GIRLS"</f>
        <v>PACE CENTER FOR GIRLS</v>
      </c>
      <c r="G2643" s="94"/>
      <c r="H2643" s="92"/>
      <c r="I2643" s="95">
        <v>3</v>
      </c>
      <c r="J2643" s="95">
        <v>54</v>
      </c>
      <c r="K2643" s="118"/>
      <c r="L2643" s="119"/>
      <c r="M2643" s="110">
        <f>IF(L2643="",I2643,(MIN(J2643,(L2643*1.6*J2643))))</f>
        <v>3</v>
      </c>
      <c r="N2643" s="111">
        <f>IF(M2643=0,0,(M2643/J2643))</f>
        <v>5.5555555555555552E-2</v>
      </c>
    </row>
    <row r="2644" spans="2:14">
      <c r="B2644" s="120">
        <v>127873</v>
      </c>
      <c r="C2644" s="121" t="s">
        <v>1620</v>
      </c>
      <c r="D2644" s="109">
        <f>SUMIF(B$3:B$3844,B2644,M$3:M$3844)/(SUMIF(B$3:B$3844,B2644,J$3:J$3844))</f>
        <v>0.5620239312301113</v>
      </c>
      <c r="E2644" s="91">
        <v>37544</v>
      </c>
      <c r="F2644" s="93" t="str">
        <f>"PASCO ELEMENTARY SCHOOL"</f>
        <v>PASCO ELEMENTARY SCHOOL</v>
      </c>
      <c r="G2644" s="94"/>
      <c r="H2644" s="92"/>
      <c r="I2644" s="95">
        <v>623</v>
      </c>
      <c r="J2644" s="95">
        <v>690</v>
      </c>
      <c r="K2644" s="118"/>
      <c r="L2644" s="119"/>
      <c r="M2644" s="110">
        <f>IF(L2644="",I2644,(MIN(J2644,(L2644*1.6*J2644))))</f>
        <v>623</v>
      </c>
      <c r="N2644" s="111">
        <f>IF(M2644=0,0,(M2644/J2644))</f>
        <v>0.90289855072463765</v>
      </c>
    </row>
    <row r="2645" spans="2:14">
      <c r="B2645" s="120">
        <v>127873</v>
      </c>
      <c r="C2645" s="121" t="s">
        <v>1620</v>
      </c>
      <c r="D2645" s="109">
        <f>SUMIF(B$3:B$3844,B2645,M$3:M$3844)/(SUMIF(B$3:B$3844,B2645,J$3:J$3844))</f>
        <v>0.5620239312301113</v>
      </c>
      <c r="E2645" s="91">
        <v>37545</v>
      </c>
      <c r="F2645" s="93" t="s">
        <v>2440</v>
      </c>
      <c r="G2645" s="94"/>
      <c r="H2645" s="92"/>
      <c r="I2645" s="95">
        <v>1118</v>
      </c>
      <c r="J2645" s="95">
        <v>1768</v>
      </c>
      <c r="K2645" s="118"/>
      <c r="L2645" s="119"/>
      <c r="M2645" s="110">
        <f>IF(L2645="",I2645,(MIN(J2645,(L2645*1.6*J2645))))</f>
        <v>1118</v>
      </c>
      <c r="N2645" s="111">
        <f>IF(M2645=0,0,(M2645/J2645))</f>
        <v>0.63235294117647056</v>
      </c>
    </row>
    <row r="2646" spans="2:14">
      <c r="B2646" s="120">
        <v>127873</v>
      </c>
      <c r="C2646" s="121" t="s">
        <v>1620</v>
      </c>
      <c r="D2646" s="109">
        <f>SUMIF(B$3:B$3844,B2646,M$3:M$3844)/(SUMIF(B$3:B$3844,B2646,J$3:J$3844))</f>
        <v>0.5620239312301113</v>
      </c>
      <c r="E2646" s="91">
        <v>37543</v>
      </c>
      <c r="F2646" s="93" t="str">
        <f>"PASCO MIDDLE SCHOOL"</f>
        <v>PASCO MIDDLE SCHOOL</v>
      </c>
      <c r="G2646" s="94"/>
      <c r="H2646" s="92"/>
      <c r="I2646" s="95">
        <v>682</v>
      </c>
      <c r="J2646" s="95">
        <v>914</v>
      </c>
      <c r="K2646" s="118"/>
      <c r="L2646" s="119"/>
      <c r="M2646" s="110">
        <f>IF(L2646="",I2646,(MIN(J2646,(L2646*1.6*J2646))))</f>
        <v>682</v>
      </c>
      <c r="N2646" s="111">
        <f>IF(M2646=0,0,(M2646/J2646))</f>
        <v>0.74617067833698025</v>
      </c>
    </row>
    <row r="2647" spans="2:14">
      <c r="B2647" s="120">
        <v>127873</v>
      </c>
      <c r="C2647" s="121" t="s">
        <v>1620</v>
      </c>
      <c r="D2647" s="109">
        <f>SUMIF(B$3:B$3844,B2647,M$3:M$3844)/(SUMIF(B$3:B$3844,B2647,J$3:J$3844))</f>
        <v>0.5620239312301113</v>
      </c>
      <c r="E2647" s="91">
        <v>16036230</v>
      </c>
      <c r="F2647" s="93" t="str">
        <f>"PAUL R. SMITH MIDDLE SCHOOL"</f>
        <v>PAUL R. SMITH MIDDLE SCHOOL</v>
      </c>
      <c r="G2647" s="94"/>
      <c r="H2647" s="92"/>
      <c r="I2647" s="95">
        <v>800</v>
      </c>
      <c r="J2647" s="95">
        <v>999</v>
      </c>
      <c r="K2647" s="118"/>
      <c r="L2647" s="119"/>
      <c r="M2647" s="110">
        <f>IF(L2647="",I2647,(MIN(J2647,(L2647*1.6*J2647))))</f>
        <v>800</v>
      </c>
      <c r="N2647" s="111">
        <f>IF(M2647=0,0,(M2647/J2647))</f>
        <v>0.80080080080080085</v>
      </c>
    </row>
    <row r="2648" spans="2:14">
      <c r="B2648" s="120">
        <v>127873</v>
      </c>
      <c r="C2648" s="121" t="s">
        <v>1620</v>
      </c>
      <c r="D2648" s="109">
        <f>SUMIF(B$3:B$3844,B2648,M$3:M$3844)/(SUMIF(B$3:B$3844,B2648,J$3:J$3844))</f>
        <v>0.5620239312301113</v>
      </c>
      <c r="E2648" s="91">
        <v>16076322</v>
      </c>
      <c r="F2648" s="93" t="s">
        <v>2441</v>
      </c>
      <c r="G2648" s="94"/>
      <c r="H2648" s="92"/>
      <c r="I2648" s="95">
        <v>22</v>
      </c>
      <c r="J2648" s="95">
        <v>269</v>
      </c>
      <c r="K2648" s="118"/>
      <c r="L2648" s="119"/>
      <c r="M2648" s="110">
        <f>IF(L2648="",I2648,(MIN(J2648,(L2648*1.6*J2648))))</f>
        <v>22</v>
      </c>
      <c r="N2648" s="111">
        <f>IF(M2648=0,0,(M2648/J2648))</f>
        <v>8.1784386617100371E-2</v>
      </c>
    </row>
    <row r="2649" spans="2:14">
      <c r="B2649" s="120">
        <v>127873</v>
      </c>
      <c r="C2649" s="121" t="s">
        <v>1620</v>
      </c>
      <c r="D2649" s="109">
        <f>SUMIF(B$3:B$3844,B2649,M$3:M$3844)/(SUMIF(B$3:B$3844,B2649,J$3:J$3844))</f>
        <v>0.5620239312301113</v>
      </c>
      <c r="E2649" s="91">
        <v>16022587</v>
      </c>
      <c r="F2649" s="93" t="str">
        <f>"PINE VIEW ELEMENTARY SCHOOL"</f>
        <v>PINE VIEW ELEMENTARY SCHOOL</v>
      </c>
      <c r="G2649" s="94"/>
      <c r="H2649" s="92"/>
      <c r="I2649" s="95">
        <v>240</v>
      </c>
      <c r="J2649" s="95">
        <v>567</v>
      </c>
      <c r="K2649" s="118"/>
      <c r="L2649" s="119"/>
      <c r="M2649" s="110">
        <f>IF(L2649="",I2649,(MIN(J2649,(L2649*1.6*J2649))))</f>
        <v>240</v>
      </c>
      <c r="N2649" s="111">
        <f>IF(M2649=0,0,(M2649/J2649))</f>
        <v>0.42328042328042326</v>
      </c>
    </row>
    <row r="2650" spans="2:14">
      <c r="B2650" s="120">
        <v>127873</v>
      </c>
      <c r="C2650" s="121" t="s">
        <v>1620</v>
      </c>
      <c r="D2650" s="109">
        <f>SUMIF(B$3:B$3844,B2650,M$3:M$3844)/(SUMIF(B$3:B$3844,B2650,J$3:J$3844))</f>
        <v>0.5620239312301113</v>
      </c>
      <c r="E2650" s="91">
        <v>38640</v>
      </c>
      <c r="F2650" s="93" t="str">
        <f>"PINE VIEW MIDDLE SCHOOL"</f>
        <v>PINE VIEW MIDDLE SCHOOL</v>
      </c>
      <c r="G2650" s="94"/>
      <c r="H2650" s="92"/>
      <c r="I2650" s="95">
        <v>291</v>
      </c>
      <c r="J2650" s="95">
        <v>909</v>
      </c>
      <c r="K2650" s="118"/>
      <c r="L2650" s="119"/>
      <c r="M2650" s="110">
        <f>IF(L2650="",I2650,(MIN(J2650,(L2650*1.6*J2650))))</f>
        <v>291</v>
      </c>
      <c r="N2650" s="111">
        <f>IF(M2650=0,0,(M2650/J2650))</f>
        <v>0.32013201320132012</v>
      </c>
    </row>
    <row r="2651" spans="2:14">
      <c r="B2651" s="120">
        <v>127873</v>
      </c>
      <c r="C2651" s="121" t="s">
        <v>1620</v>
      </c>
      <c r="D2651" s="109">
        <f>SUMIF(B$3:B$3844,B2651,M$3:M$3844)/(SUMIF(B$3:B$3844,B2651,J$3:J$3844))</f>
        <v>0.5620239312301113</v>
      </c>
      <c r="E2651" s="91">
        <v>37558</v>
      </c>
      <c r="F2651" s="93" t="s">
        <v>2442</v>
      </c>
      <c r="G2651" s="94"/>
      <c r="H2651" s="92"/>
      <c r="I2651" s="95">
        <v>709</v>
      </c>
      <c r="J2651" s="95">
        <v>933</v>
      </c>
      <c r="K2651" s="118"/>
      <c r="L2651" s="119"/>
      <c r="M2651" s="110">
        <f>IF(L2651="",I2651,(MIN(J2651,(L2651*1.6*J2651))))</f>
        <v>709</v>
      </c>
      <c r="N2651" s="111">
        <f>IF(M2651=0,0,(M2651/J2651))</f>
        <v>0.759914255091104</v>
      </c>
    </row>
    <row r="2652" spans="2:14">
      <c r="B2652" s="120">
        <v>127873</v>
      </c>
      <c r="C2652" s="121" t="s">
        <v>1620</v>
      </c>
      <c r="D2652" s="109">
        <f>SUMIF(B$3:B$3844,B2652,M$3:M$3844)/(SUMIF(B$3:B$3844,B2652,J$3:J$3844))</f>
        <v>0.5620239312301113</v>
      </c>
      <c r="E2652" s="91">
        <v>38644</v>
      </c>
      <c r="F2652" s="93" t="str">
        <f>"RICHEY ELEMENTARY SCHOOL"</f>
        <v>RICHEY ELEMENTARY SCHOOL</v>
      </c>
      <c r="G2652" s="94"/>
      <c r="H2652" s="92"/>
      <c r="I2652" s="95">
        <v>583</v>
      </c>
      <c r="J2652" s="95">
        <v>663</v>
      </c>
      <c r="K2652" s="118"/>
      <c r="L2652" s="119"/>
      <c r="M2652" s="110">
        <f>IF(L2652="",I2652,(MIN(J2652,(L2652*1.6*J2652))))</f>
        <v>583</v>
      </c>
      <c r="N2652" s="111">
        <f>IF(M2652=0,0,(M2652/J2652))</f>
        <v>0.8793363499245852</v>
      </c>
    </row>
    <row r="2653" spans="2:14">
      <c r="B2653" s="120">
        <v>127873</v>
      </c>
      <c r="C2653" s="121" t="s">
        <v>1620</v>
      </c>
      <c r="D2653" s="109">
        <f>SUMIF(B$3:B$3844,B2653,M$3:M$3844)/(SUMIF(B$3:B$3844,B2653,J$3:J$3844))</f>
        <v>0.5620239312301113</v>
      </c>
      <c r="E2653" s="91">
        <v>38650</v>
      </c>
      <c r="F2653" s="93" t="str">
        <f>"RIDGEWOOD HIGH SCHOOL"</f>
        <v>RIDGEWOOD HIGH SCHOOL</v>
      </c>
      <c r="G2653" s="94"/>
      <c r="H2653" s="92"/>
      <c r="I2653" s="95">
        <v>846</v>
      </c>
      <c r="J2653" s="95">
        <v>1105</v>
      </c>
      <c r="K2653" s="118"/>
      <c r="L2653" s="119"/>
      <c r="M2653" s="110">
        <f>IF(L2653="",I2653,(MIN(J2653,(L2653*1.6*J2653))))</f>
        <v>846</v>
      </c>
      <c r="N2653" s="111">
        <f>IF(M2653=0,0,(M2653/J2653))</f>
        <v>0.76561085972850673</v>
      </c>
    </row>
    <row r="2654" spans="2:14">
      <c r="B2654" s="120">
        <v>127873</v>
      </c>
      <c r="C2654" s="121" t="s">
        <v>1620</v>
      </c>
      <c r="D2654" s="109">
        <f>SUMIF(B$3:B$3844,B2654,M$3:M$3844)/(SUMIF(B$3:B$3844,B2654,J$3:J$3844))</f>
        <v>0.5620239312301113</v>
      </c>
      <c r="E2654" s="91">
        <v>38663</v>
      </c>
      <c r="F2654" s="93" t="str">
        <f>"RIVER RIDGE HIGH SCHOOL"</f>
        <v>RIVER RIDGE HIGH SCHOOL</v>
      </c>
      <c r="G2654" s="94"/>
      <c r="H2654" s="92"/>
      <c r="I2654" s="95">
        <v>701</v>
      </c>
      <c r="J2654" s="95">
        <v>1603</v>
      </c>
      <c r="K2654" s="118"/>
      <c r="L2654" s="119"/>
      <c r="M2654" s="110">
        <f>IF(L2654="",I2654,(MIN(J2654,(L2654*1.6*J2654))))</f>
        <v>701</v>
      </c>
      <c r="N2654" s="111">
        <f>IF(M2654=0,0,(M2654/J2654))</f>
        <v>0.43730505302557704</v>
      </c>
    </row>
    <row r="2655" spans="2:14">
      <c r="B2655" s="120">
        <v>127873</v>
      </c>
      <c r="C2655" s="121" t="s">
        <v>1620</v>
      </c>
      <c r="D2655" s="109">
        <f>SUMIF(B$3:B$3844,B2655,M$3:M$3844)/(SUMIF(B$3:B$3844,B2655,J$3:J$3844))</f>
        <v>0.5620239312301113</v>
      </c>
      <c r="E2655" s="91">
        <v>16045432</v>
      </c>
      <c r="F2655" s="93" t="str">
        <f>"RIVER RIDGE MIDDLE SCHOOL"</f>
        <v>RIVER RIDGE MIDDLE SCHOOL</v>
      </c>
      <c r="G2655" s="94"/>
      <c r="H2655" s="92"/>
      <c r="I2655" s="95">
        <v>578</v>
      </c>
      <c r="J2655" s="95">
        <v>1089</v>
      </c>
      <c r="K2655" s="118"/>
      <c r="L2655" s="119"/>
      <c r="M2655" s="110">
        <f>IF(L2655="",I2655,(MIN(J2655,(L2655*1.6*J2655))))</f>
        <v>578</v>
      </c>
      <c r="N2655" s="111">
        <f>IF(M2655=0,0,(M2655/J2655))</f>
        <v>0.53076216712580349</v>
      </c>
    </row>
    <row r="2656" spans="2:14">
      <c r="B2656" s="120">
        <v>127873</v>
      </c>
      <c r="C2656" s="121" t="s">
        <v>1620</v>
      </c>
      <c r="D2656" s="109">
        <f>SUMIF(B$3:B$3844,B2656,M$3:M$3844)/(SUMIF(B$3:B$3844,B2656,J$3:J$3844))</f>
        <v>0.5620239312301113</v>
      </c>
      <c r="E2656" s="91">
        <v>37537</v>
      </c>
      <c r="F2656" s="93" t="s">
        <v>1621</v>
      </c>
      <c r="G2656" s="94"/>
      <c r="H2656" s="92"/>
      <c r="I2656" s="95">
        <v>451</v>
      </c>
      <c r="J2656" s="95">
        <v>469</v>
      </c>
      <c r="K2656" s="118"/>
      <c r="L2656" s="119"/>
      <c r="M2656" s="110">
        <f>IF(L2656="",I2656,(MIN(J2656,(L2656*1.6*J2656))))</f>
        <v>451</v>
      </c>
      <c r="N2656" s="111">
        <f>IF(M2656=0,0,(M2656/J2656))</f>
        <v>0.96162046908315568</v>
      </c>
    </row>
    <row r="2657" spans="2:14">
      <c r="B2657" s="120">
        <v>127873</v>
      </c>
      <c r="C2657" s="121" t="s">
        <v>1620</v>
      </c>
      <c r="D2657" s="109">
        <f>SUMIF(B$3:B$3844,B2657,M$3:M$3844)/(SUMIF(B$3:B$3844,B2657,J$3:J$3844))</f>
        <v>0.5620239312301113</v>
      </c>
      <c r="E2657" s="91">
        <v>37547</v>
      </c>
      <c r="F2657" s="93" t="str">
        <f>"SAN ANTONIO ELEMENTARY SCHOOL"</f>
        <v>SAN ANTONIO ELEMENTARY SCHOOL</v>
      </c>
      <c r="G2657" s="94"/>
      <c r="H2657" s="92"/>
      <c r="I2657" s="95">
        <v>456</v>
      </c>
      <c r="J2657" s="95">
        <v>652</v>
      </c>
      <c r="K2657" s="118"/>
      <c r="L2657" s="119"/>
      <c r="M2657" s="110">
        <f>IF(L2657="",I2657,(MIN(J2657,(L2657*1.6*J2657))))</f>
        <v>456</v>
      </c>
      <c r="N2657" s="111">
        <f>IF(M2657=0,0,(M2657/J2657))</f>
        <v>0.69938650306748462</v>
      </c>
    </row>
    <row r="2658" spans="2:14">
      <c r="B2658" s="120">
        <v>127873</v>
      </c>
      <c r="C2658" s="121" t="s">
        <v>1620</v>
      </c>
      <c r="D2658" s="109">
        <f>SUMIF(B$3:B$3844,B2658,M$3:M$3844)/(SUMIF(B$3:B$3844,B2658,J$3:J$3844))</f>
        <v>0.5620239312301113</v>
      </c>
      <c r="E2658" s="91">
        <v>195077</v>
      </c>
      <c r="F2658" s="93" t="str">
        <f>"SAND PINE ELEMENTARY SCHOOL"</f>
        <v>SAND PINE ELEMENTARY SCHOOL</v>
      </c>
      <c r="G2658" s="94"/>
      <c r="H2658" s="92"/>
      <c r="I2658" s="95">
        <v>216</v>
      </c>
      <c r="J2658" s="95">
        <v>613</v>
      </c>
      <c r="K2658" s="118"/>
      <c r="L2658" s="119"/>
      <c r="M2658" s="110">
        <f>IF(L2658="",I2658,(MIN(J2658,(L2658*1.6*J2658))))</f>
        <v>216</v>
      </c>
      <c r="N2658" s="111">
        <f>IF(M2658=0,0,(M2658/J2658))</f>
        <v>0.35236541598694943</v>
      </c>
    </row>
    <row r="2659" spans="2:14">
      <c r="B2659" s="120">
        <v>127873</v>
      </c>
      <c r="C2659" s="121" t="s">
        <v>1620</v>
      </c>
      <c r="D2659" s="109">
        <f>SUMIF(B$3:B$3844,B2659,M$3:M$3844)/(SUMIF(B$3:B$3844,B2659,J$3:J$3844))</f>
        <v>0.5620239312301113</v>
      </c>
      <c r="E2659" s="91">
        <v>38658</v>
      </c>
      <c r="F2659" s="93" t="str">
        <f>"SCHRADER ELEMENTARY SCHOOL"</f>
        <v>SCHRADER ELEMENTARY SCHOOL</v>
      </c>
      <c r="G2659" s="94"/>
      <c r="H2659" s="92"/>
      <c r="I2659" s="95">
        <v>504</v>
      </c>
      <c r="J2659" s="95">
        <v>629</v>
      </c>
      <c r="K2659" s="118"/>
      <c r="L2659" s="119"/>
      <c r="M2659" s="110">
        <f>IF(L2659="",I2659,(MIN(J2659,(L2659*1.6*J2659))))</f>
        <v>504</v>
      </c>
      <c r="N2659" s="111">
        <f>IF(M2659=0,0,(M2659/J2659))</f>
        <v>0.80127186009538953</v>
      </c>
    </row>
    <row r="2660" spans="2:14">
      <c r="B2660" s="120">
        <v>127873</v>
      </c>
      <c r="C2660" s="121" t="s">
        <v>1620</v>
      </c>
      <c r="D2660" s="109">
        <f>SUMIF(B$3:B$3844,B2660,M$3:M$3844)/(SUMIF(B$3:B$3844,B2660,J$3:J$3844))</f>
        <v>0.5620239312301113</v>
      </c>
      <c r="E2660" s="91">
        <v>38645</v>
      </c>
      <c r="F2660" s="93" t="str">
        <f>"SCHWETTMAN EDUCATION CENTER"</f>
        <v>SCHWETTMAN EDUCATION CENTER</v>
      </c>
      <c r="G2660" s="94"/>
      <c r="H2660" s="92"/>
      <c r="I2660" s="95">
        <v>152</v>
      </c>
      <c r="J2660" s="95">
        <v>179</v>
      </c>
      <c r="K2660" s="118"/>
      <c r="L2660" s="119"/>
      <c r="M2660" s="110">
        <f>IF(L2660="",I2660,(MIN(J2660,(L2660*1.6*J2660))))</f>
        <v>152</v>
      </c>
      <c r="N2660" s="111">
        <f>IF(M2660=0,0,(M2660/J2660))</f>
        <v>0.84916201117318435</v>
      </c>
    </row>
    <row r="2661" spans="2:14">
      <c r="B2661" s="120">
        <v>127873</v>
      </c>
      <c r="C2661" s="121" t="s">
        <v>1620</v>
      </c>
      <c r="D2661" s="109">
        <f>SUMIF(B$3:B$3844,B2661,M$3:M$3844)/(SUMIF(B$3:B$3844,B2661,J$3:J$3844))</f>
        <v>0.5620239312301113</v>
      </c>
      <c r="E2661" s="91">
        <v>16031242</v>
      </c>
      <c r="F2661" s="93" t="str">
        <f>"SEVEN OAKS ELEMENTARY SCHOOL"</f>
        <v>SEVEN OAKS ELEMENTARY SCHOOL</v>
      </c>
      <c r="G2661" s="94"/>
      <c r="H2661" s="92"/>
      <c r="I2661" s="95">
        <v>304</v>
      </c>
      <c r="J2661" s="95">
        <v>1102</v>
      </c>
      <c r="K2661" s="118"/>
      <c r="L2661" s="119"/>
      <c r="M2661" s="110">
        <f>IF(L2661="",I2661,(MIN(J2661,(L2661*1.6*J2661))))</f>
        <v>304</v>
      </c>
      <c r="N2661" s="111">
        <f>IF(M2661=0,0,(M2661/J2661))</f>
        <v>0.27586206896551724</v>
      </c>
    </row>
    <row r="2662" spans="2:14">
      <c r="B2662" s="120">
        <v>127873</v>
      </c>
      <c r="C2662" s="121" t="s">
        <v>1620</v>
      </c>
      <c r="D2662" s="109">
        <f>SUMIF(B$3:B$3844,B2662,M$3:M$3844)/(SUMIF(B$3:B$3844,B2662,J$3:J$3844))</f>
        <v>0.5620239312301113</v>
      </c>
      <c r="E2662" s="91">
        <v>38664</v>
      </c>
      <c r="F2662" s="93" t="s">
        <v>1622</v>
      </c>
      <c r="G2662" s="94"/>
      <c r="H2662" s="92"/>
      <c r="I2662" s="95">
        <v>365</v>
      </c>
      <c r="J2662" s="95">
        <v>481</v>
      </c>
      <c r="K2662" s="118"/>
      <c r="L2662" s="119"/>
      <c r="M2662" s="110">
        <f>IF(L2662="",I2662,(MIN(J2662,(L2662*1.6*J2662))))</f>
        <v>365</v>
      </c>
      <c r="N2662" s="111">
        <f>IF(M2662=0,0,(M2662/J2662))</f>
        <v>0.75883575883575882</v>
      </c>
    </row>
    <row r="2663" spans="2:14">
      <c r="B2663" s="120">
        <v>127873</v>
      </c>
      <c r="C2663" s="121" t="s">
        <v>1620</v>
      </c>
      <c r="D2663" s="109">
        <f>SUMIF(B$3:B$3844,B2663,M$3:M$3844)/(SUMIF(B$3:B$3844,B2663,J$3:J$3844))</f>
        <v>0.5620239312301113</v>
      </c>
      <c r="E2663" s="91">
        <v>38665</v>
      </c>
      <c r="F2663" s="93" t="str">
        <f>"SEVEN SPRINGS MIDDLE SCHOOL"</f>
        <v>SEVEN SPRINGS MIDDLE SCHOOL</v>
      </c>
      <c r="G2663" s="94"/>
      <c r="H2663" s="92"/>
      <c r="I2663" s="95">
        <v>482</v>
      </c>
      <c r="J2663" s="95">
        <v>1547</v>
      </c>
      <c r="K2663" s="118"/>
      <c r="L2663" s="119"/>
      <c r="M2663" s="110">
        <f>IF(L2663="",I2663,(MIN(J2663,(L2663*1.6*J2663))))</f>
        <v>482</v>
      </c>
      <c r="N2663" s="111">
        <f>IF(M2663=0,0,(M2663/J2663))</f>
        <v>0.31157078215901746</v>
      </c>
    </row>
    <row r="2664" spans="2:14">
      <c r="B2664" s="120">
        <v>127873</v>
      </c>
      <c r="C2664" s="121" t="s">
        <v>1620</v>
      </c>
      <c r="D2664" s="109">
        <f>SUMIF(B$3:B$3844,B2664,M$3:M$3844)/(SUMIF(B$3:B$3844,B2664,J$3:J$3844))</f>
        <v>0.5620239312301113</v>
      </c>
      <c r="E2664" s="91">
        <v>228382</v>
      </c>
      <c r="F2664" s="93" t="str">
        <f>"SHERIFF'S DETENTION CENTER"</f>
        <v>SHERIFF'S DETENTION CENTER</v>
      </c>
      <c r="G2664" s="94"/>
      <c r="H2664" s="92"/>
      <c r="I2664" s="95">
        <v>1</v>
      </c>
      <c r="J2664" s="95">
        <v>11</v>
      </c>
      <c r="K2664" s="118"/>
      <c r="L2664" s="119"/>
      <c r="M2664" s="110">
        <f>IF(L2664="",I2664,(MIN(J2664,(L2664*1.6*J2664))))</f>
        <v>1</v>
      </c>
      <c r="N2664" s="111">
        <f>IF(M2664=0,0,(M2664/J2664))</f>
        <v>9.0909090909090912E-2</v>
      </c>
    </row>
    <row r="2665" spans="2:14">
      <c r="B2665" s="120">
        <v>127873</v>
      </c>
      <c r="C2665" s="121" t="s">
        <v>1620</v>
      </c>
      <c r="D2665" s="109">
        <f>SUMIF(B$3:B$3844,B2665,M$3:M$3844)/(SUMIF(B$3:B$3844,B2665,J$3:J$3844))</f>
        <v>0.5620239312301113</v>
      </c>
      <c r="E2665" s="91">
        <v>16041680</v>
      </c>
      <c r="F2665" s="93" t="str">
        <f>"SUNLAKE HIGH SCHOOL"</f>
        <v>SUNLAKE HIGH SCHOOL</v>
      </c>
      <c r="G2665" s="94"/>
      <c r="H2665" s="92"/>
      <c r="I2665" s="95">
        <v>542</v>
      </c>
      <c r="J2665" s="95">
        <v>1827</v>
      </c>
      <c r="K2665" s="118"/>
      <c r="L2665" s="119"/>
      <c r="M2665" s="110">
        <f>IF(L2665="",I2665,(MIN(J2665,(L2665*1.6*J2665))))</f>
        <v>542</v>
      </c>
      <c r="N2665" s="111">
        <f>IF(M2665=0,0,(M2665/J2665))</f>
        <v>0.29666119321291734</v>
      </c>
    </row>
    <row r="2666" spans="2:14">
      <c r="B2666" s="120">
        <v>127873</v>
      </c>
      <c r="C2666" s="121" t="s">
        <v>1620</v>
      </c>
      <c r="D2666" s="109">
        <f>SUMIF(B$3:B$3844,B2666,M$3:M$3844)/(SUMIF(B$3:B$3844,B2666,J$3:J$3844))</f>
        <v>0.5620239312301113</v>
      </c>
      <c r="E2666" s="91">
        <v>220856</v>
      </c>
      <c r="F2666" s="93" t="str">
        <f>"SUNRAY ELEMENTARY SCHOOL"</f>
        <v>SUNRAY ELEMENTARY SCHOOL</v>
      </c>
      <c r="G2666" s="94"/>
      <c r="H2666" s="92"/>
      <c r="I2666" s="95">
        <v>471</v>
      </c>
      <c r="J2666" s="95">
        <v>550</v>
      </c>
      <c r="K2666" s="118"/>
      <c r="L2666" s="119"/>
      <c r="M2666" s="110">
        <f>IF(L2666="",I2666,(MIN(J2666,(L2666*1.6*J2666))))</f>
        <v>471</v>
      </c>
      <c r="N2666" s="111">
        <f>IF(M2666=0,0,(M2666/J2666))</f>
        <v>0.85636363636363633</v>
      </c>
    </row>
    <row r="2667" spans="2:14">
      <c r="B2667" s="120">
        <v>127873</v>
      </c>
      <c r="C2667" s="121" t="s">
        <v>1620</v>
      </c>
      <c r="D2667" s="109">
        <f>SUMIF(B$3:B$3844,B2667,M$3:M$3844)/(SUMIF(B$3:B$3844,B2667,J$3:J$3844))</f>
        <v>0.5620239312301113</v>
      </c>
      <c r="E2667" s="91">
        <v>37565</v>
      </c>
      <c r="F2667" s="93" t="s">
        <v>1623</v>
      </c>
      <c r="G2667" s="94"/>
      <c r="H2667" s="92"/>
      <c r="I2667" s="95">
        <v>568</v>
      </c>
      <c r="J2667" s="95">
        <v>1138</v>
      </c>
      <c r="K2667" s="118"/>
      <c r="L2667" s="119"/>
      <c r="M2667" s="110">
        <f>IF(L2667="",I2667,(MIN(J2667,(L2667*1.6*J2667))))</f>
        <v>568</v>
      </c>
      <c r="N2667" s="111">
        <f>IF(M2667=0,0,(M2667/J2667))</f>
        <v>0.49912126537785589</v>
      </c>
    </row>
    <row r="2668" spans="2:14">
      <c r="B2668" s="120">
        <v>127873</v>
      </c>
      <c r="C2668" s="121" t="s">
        <v>1620</v>
      </c>
      <c r="D2668" s="109">
        <f>SUMIF(B$3:B$3844,B2668,M$3:M$3844)/(SUMIF(B$3:B$3844,B2668,J$3:J$3844))</f>
        <v>0.5620239312301113</v>
      </c>
      <c r="E2668" s="91">
        <v>227089</v>
      </c>
      <c r="F2668" s="93" t="str">
        <f>"TRINITY ELEMENTARY SCHOOL"</f>
        <v>TRINITY ELEMENTARY SCHOOL</v>
      </c>
      <c r="G2668" s="94"/>
      <c r="H2668" s="92"/>
      <c r="I2668" s="95">
        <v>146</v>
      </c>
      <c r="J2668" s="95">
        <v>610</v>
      </c>
      <c r="K2668" s="118"/>
      <c r="L2668" s="119"/>
      <c r="M2668" s="110">
        <f>IF(L2668="",I2668,(MIN(J2668,(L2668*1.6*J2668))))</f>
        <v>146</v>
      </c>
      <c r="N2668" s="111">
        <f>IF(M2668=0,0,(M2668/J2668))</f>
        <v>0.23934426229508196</v>
      </c>
    </row>
    <row r="2669" spans="2:14">
      <c r="B2669" s="120">
        <v>127873</v>
      </c>
      <c r="C2669" s="121" t="s">
        <v>1620</v>
      </c>
      <c r="D2669" s="109">
        <f>SUMIF(B$3:B$3844,B2669,M$3:M$3844)/(SUMIF(B$3:B$3844,B2669,J$3:J$3844))</f>
        <v>0.5620239312301113</v>
      </c>
      <c r="E2669" s="91">
        <v>16036225</v>
      </c>
      <c r="F2669" s="93" t="str">
        <f>"TRINITY OAKS ELEMENTARY SCHOOL"</f>
        <v>TRINITY OAKS ELEMENTARY SCHOOL</v>
      </c>
      <c r="G2669" s="94"/>
      <c r="H2669" s="92"/>
      <c r="I2669" s="95">
        <v>179</v>
      </c>
      <c r="J2669" s="95">
        <v>719</v>
      </c>
      <c r="K2669" s="118"/>
      <c r="L2669" s="119"/>
      <c r="M2669" s="110">
        <f>IF(L2669="",I2669,(MIN(J2669,(L2669*1.6*J2669))))</f>
        <v>179</v>
      </c>
      <c r="N2669" s="111">
        <f>IF(M2669=0,0,(M2669/J2669))</f>
        <v>0.24895688456189152</v>
      </c>
    </row>
    <row r="2670" spans="2:14">
      <c r="B2670" s="120">
        <v>127873</v>
      </c>
      <c r="C2670" s="121" t="s">
        <v>1620</v>
      </c>
      <c r="D2670" s="109">
        <f>SUMIF(B$3:B$3844,B2670,M$3:M$3844)/(SUMIF(B$3:B$3844,B2670,J$3:J$3844))</f>
        <v>0.5620239312301113</v>
      </c>
      <c r="E2670" s="91">
        <v>16047525</v>
      </c>
      <c r="F2670" s="93" t="str">
        <f>"VETERANS ELEMENTARY SCHOOL"</f>
        <v>VETERANS ELEMENTARY SCHOOL</v>
      </c>
      <c r="G2670" s="94"/>
      <c r="H2670" s="92"/>
      <c r="I2670" s="95">
        <v>299</v>
      </c>
      <c r="J2670" s="95">
        <v>814</v>
      </c>
      <c r="K2670" s="118"/>
      <c r="L2670" s="119"/>
      <c r="M2670" s="110">
        <f>IF(L2670="",I2670,(MIN(J2670,(L2670*1.6*J2670))))</f>
        <v>299</v>
      </c>
      <c r="N2670" s="111">
        <f>IF(M2670=0,0,(M2670/J2670))</f>
        <v>0.36732186732186733</v>
      </c>
    </row>
    <row r="2671" spans="2:14">
      <c r="B2671" s="120">
        <v>127873</v>
      </c>
      <c r="C2671" s="121" t="s">
        <v>1620</v>
      </c>
      <c r="D2671" s="109">
        <f>SUMIF(B$3:B$3844,B2671,M$3:M$3844)/(SUMIF(B$3:B$3844,B2671,J$3:J$3844))</f>
        <v>0.5620239312301113</v>
      </c>
      <c r="E2671" s="91">
        <v>16052491</v>
      </c>
      <c r="F2671" s="93" t="str">
        <f>"WATERGRASS ELEMENTARY SCHOOL"</f>
        <v>WATERGRASS ELEMENTARY SCHOOL</v>
      </c>
      <c r="G2671" s="94"/>
      <c r="H2671" s="92"/>
      <c r="I2671" s="95">
        <v>332</v>
      </c>
      <c r="J2671" s="95">
        <v>619</v>
      </c>
      <c r="K2671" s="118"/>
      <c r="L2671" s="119"/>
      <c r="M2671" s="110">
        <f>IF(L2671="",I2671,(MIN(J2671,(L2671*1.6*J2671))))</f>
        <v>332</v>
      </c>
      <c r="N2671" s="111">
        <f>IF(M2671=0,0,(M2671/J2671))</f>
        <v>0.53634894991922455</v>
      </c>
    </row>
    <row r="2672" spans="2:14">
      <c r="B2672" s="120">
        <v>127873</v>
      </c>
      <c r="C2672" s="121" t="s">
        <v>1620</v>
      </c>
      <c r="D2672" s="109">
        <f>SUMIF(B$3:B$3844,B2672,M$3:M$3844)/(SUMIF(B$3:B$3844,B2672,J$3:J$3844))</f>
        <v>0.5620239312301113</v>
      </c>
      <c r="E2672" s="91">
        <v>232611</v>
      </c>
      <c r="F2672" s="93" t="s">
        <v>1624</v>
      </c>
      <c r="G2672" s="94"/>
      <c r="H2672" s="92"/>
      <c r="I2672" s="95">
        <v>235</v>
      </c>
      <c r="J2672" s="95">
        <v>630</v>
      </c>
      <c r="K2672" s="118"/>
      <c r="L2672" s="119"/>
      <c r="M2672" s="110">
        <f>IF(L2672="",I2672,(MIN(J2672,(L2672*1.6*J2672))))</f>
        <v>235</v>
      </c>
      <c r="N2672" s="111">
        <f>IF(M2672=0,0,(M2672/J2672))</f>
        <v>0.37301587301587302</v>
      </c>
    </row>
    <row r="2673" spans="2:14">
      <c r="B2673" s="120">
        <v>127873</v>
      </c>
      <c r="C2673" s="121" t="s">
        <v>1620</v>
      </c>
      <c r="D2673" s="109">
        <f>SUMIF(B$3:B$3844,B2673,M$3:M$3844)/(SUMIF(B$3:B$3844,B2673,J$3:J$3844))</f>
        <v>0.5620239312301113</v>
      </c>
      <c r="E2673" s="91">
        <v>211089</v>
      </c>
      <c r="F2673" s="93" t="str">
        <f>"WESLEY CHAPEL HIGH SCHOOL"</f>
        <v>WESLEY CHAPEL HIGH SCHOOL</v>
      </c>
      <c r="G2673" s="94"/>
      <c r="H2673" s="92"/>
      <c r="I2673" s="95">
        <v>774</v>
      </c>
      <c r="J2673" s="95">
        <v>1624</v>
      </c>
      <c r="K2673" s="118"/>
      <c r="L2673" s="119"/>
      <c r="M2673" s="110">
        <f>IF(L2673="",I2673,(MIN(J2673,(L2673*1.6*J2673))))</f>
        <v>774</v>
      </c>
      <c r="N2673" s="111">
        <f>IF(M2673=0,0,(M2673/J2673))</f>
        <v>0.47660098522167488</v>
      </c>
    </row>
    <row r="2674" spans="2:14">
      <c r="B2674" s="120">
        <v>127873</v>
      </c>
      <c r="C2674" s="121" t="s">
        <v>1620</v>
      </c>
      <c r="D2674" s="109">
        <f>SUMIF(B$3:B$3844,B2674,M$3:M$3844)/(SUMIF(B$3:B$3844,B2674,J$3:J$3844))</f>
        <v>0.5620239312301113</v>
      </c>
      <c r="E2674" s="91">
        <v>37560</v>
      </c>
      <c r="F2674" s="93" t="s">
        <v>1625</v>
      </c>
      <c r="G2674" s="94"/>
      <c r="H2674" s="92"/>
      <c r="I2674" s="95">
        <v>746</v>
      </c>
      <c r="J2674" s="95">
        <v>855</v>
      </c>
      <c r="K2674" s="118"/>
      <c r="L2674" s="119"/>
      <c r="M2674" s="110">
        <f>IF(L2674="",I2674,(MIN(J2674,(L2674*1.6*J2674))))</f>
        <v>746</v>
      </c>
      <c r="N2674" s="111">
        <f>IF(M2674=0,0,(M2674/J2674))</f>
        <v>0.87251461988304091</v>
      </c>
    </row>
    <row r="2675" spans="2:14">
      <c r="B2675" s="120">
        <v>127873</v>
      </c>
      <c r="C2675" s="121" t="s">
        <v>1620</v>
      </c>
      <c r="D2675" s="109">
        <f>SUMIF(B$3:B$3844,B2675,M$3:M$3844)/(SUMIF(B$3:B$3844,B2675,J$3:J$3844))</f>
        <v>0.5620239312301113</v>
      </c>
      <c r="E2675" s="91">
        <v>16036231</v>
      </c>
      <c r="F2675" s="93" t="str">
        <f>"WIREGRASS RANCH HIGH SCHOOL"</f>
        <v>WIREGRASS RANCH HIGH SCHOOL</v>
      </c>
      <c r="G2675" s="94"/>
      <c r="H2675" s="92"/>
      <c r="I2675" s="95">
        <v>725</v>
      </c>
      <c r="J2675" s="95">
        <v>2353</v>
      </c>
      <c r="K2675" s="118"/>
      <c r="L2675" s="119"/>
      <c r="M2675" s="110">
        <f>IF(L2675="",I2675,(MIN(J2675,(L2675*1.6*J2675))))</f>
        <v>725</v>
      </c>
      <c r="N2675" s="111">
        <f>IF(M2675=0,0,(M2675/J2675))</f>
        <v>0.30811729706757329</v>
      </c>
    </row>
    <row r="2676" spans="2:14">
      <c r="B2676" s="120">
        <v>127873</v>
      </c>
      <c r="C2676" s="121" t="s">
        <v>1620</v>
      </c>
      <c r="D2676" s="109">
        <f>SUMIF(B$3:B$3844,B2676,M$3:M$3844)/(SUMIF(B$3:B$3844,B2676,J$3:J$3844))</f>
        <v>0.5620239312301113</v>
      </c>
      <c r="E2676" s="91">
        <v>37557</v>
      </c>
      <c r="F2676" s="93" t="str">
        <f>"WOODLAND ELEMENTARY SCHOOL"</f>
        <v>WOODLAND ELEMENTARY SCHOOL</v>
      </c>
      <c r="G2676" s="94"/>
      <c r="H2676" s="92"/>
      <c r="I2676" s="95">
        <v>799</v>
      </c>
      <c r="J2676" s="95">
        <v>987</v>
      </c>
      <c r="K2676" s="118"/>
      <c r="L2676" s="119"/>
      <c r="M2676" s="110">
        <f>IF(L2676="",I2676,(MIN(J2676,(L2676*1.6*J2676))))</f>
        <v>799</v>
      </c>
      <c r="N2676" s="111">
        <f>IF(M2676=0,0,(M2676/J2676))</f>
        <v>0.80952380952380953</v>
      </c>
    </row>
    <row r="2677" spans="2:14">
      <c r="B2677" s="120">
        <v>127873</v>
      </c>
      <c r="C2677" s="121" t="s">
        <v>1620</v>
      </c>
      <c r="D2677" s="109">
        <f>SUMIF(B$3:B$3844,B2677,M$3:M$3844)/(SUMIF(B$3:B$3844,B2677,J$3:J$3844))</f>
        <v>0.5620239312301113</v>
      </c>
      <c r="E2677" s="91">
        <v>37559</v>
      </c>
      <c r="F2677" s="93" t="str">
        <f>"ZEPHYRHILLS HIGH SCHOOL"</f>
        <v>ZEPHYRHILLS HIGH SCHOOL</v>
      </c>
      <c r="G2677" s="94"/>
      <c r="H2677" s="92"/>
      <c r="I2677" s="95">
        <v>1105</v>
      </c>
      <c r="J2677" s="95">
        <v>1548</v>
      </c>
      <c r="K2677" s="118"/>
      <c r="L2677" s="119"/>
      <c r="M2677" s="110">
        <f>IF(L2677="",I2677,(MIN(J2677,(L2677*1.6*J2677))))</f>
        <v>1105</v>
      </c>
      <c r="N2677" s="111">
        <f>IF(M2677=0,0,(M2677/J2677))</f>
        <v>0.71382428940568476</v>
      </c>
    </row>
    <row r="2678" spans="2:14">
      <c r="B2678" s="120">
        <v>127873</v>
      </c>
      <c r="C2678" s="121" t="s">
        <v>1620</v>
      </c>
      <c r="D2678" s="109">
        <f>SUMIF(B$3:B$3844,B2678,M$3:M$3844)/(SUMIF(B$3:B$3844,B2678,J$3:J$3844))</f>
        <v>0.5620239312301113</v>
      </c>
      <c r="E2678" s="91">
        <v>38637</v>
      </c>
      <c r="F2678" s="93" t="s">
        <v>1626</v>
      </c>
      <c r="G2678" s="94"/>
      <c r="H2678" s="92"/>
      <c r="I2678" s="95">
        <v>153</v>
      </c>
      <c r="J2678" s="95">
        <v>711</v>
      </c>
      <c r="K2678" s="118"/>
      <c r="L2678" s="119"/>
      <c r="M2678" s="110">
        <f>IF(L2678="",I2678,(MIN(J2678,(L2678*1.6*J2678))))</f>
        <v>153</v>
      </c>
      <c r="N2678" s="111">
        <f>IF(M2678=0,0,(M2678/J2678))</f>
        <v>0.21518987341772153</v>
      </c>
    </row>
    <row r="2679" spans="2:14">
      <c r="B2679" s="120">
        <v>127873</v>
      </c>
      <c r="C2679" s="121" t="s">
        <v>1620</v>
      </c>
      <c r="D2679" s="109">
        <f>SUMIF(B$3:B$3844,B2679,M$3:M$3844)/(SUMIF(B$3:B$3844,B2679,J$3:J$3844))</f>
        <v>0.5620239312301113</v>
      </c>
      <c r="E2679" s="91">
        <v>37564</v>
      </c>
      <c r="F2679" s="93" t="s">
        <v>1627</v>
      </c>
      <c r="G2679" s="94"/>
      <c r="H2679" s="92"/>
      <c r="I2679" s="95">
        <v>276</v>
      </c>
      <c r="J2679" s="95">
        <v>407</v>
      </c>
      <c r="K2679" s="118"/>
      <c r="L2679" s="119"/>
      <c r="M2679" s="110">
        <f>IF(L2679="",I2679,(MIN(J2679,(L2679*1.6*J2679))))</f>
        <v>276</v>
      </c>
      <c r="N2679" s="111">
        <f>IF(M2679=0,0,(M2679/J2679))</f>
        <v>0.67813267813267808</v>
      </c>
    </row>
    <row r="2680" spans="2:14">
      <c r="B2680" s="120">
        <v>127873</v>
      </c>
      <c r="C2680" s="121" t="s">
        <v>1620</v>
      </c>
      <c r="D2680" s="109">
        <f>SUMIF(B$3:B$3844,B2680,M$3:M$3844)/(SUMIF(B$3:B$3844,B2680,J$3:J$3844))</f>
        <v>0.5620239312301113</v>
      </c>
      <c r="E2680" s="91">
        <v>38630</v>
      </c>
      <c r="F2680" s="93" t="s">
        <v>1628</v>
      </c>
      <c r="G2680" s="94"/>
      <c r="H2680" s="92"/>
      <c r="I2680" s="95">
        <v>366</v>
      </c>
      <c r="J2680" s="95">
        <v>485</v>
      </c>
      <c r="K2680" s="118"/>
      <c r="L2680" s="119"/>
      <c r="M2680" s="110">
        <f>IF(L2680="",I2680,(MIN(J2680,(L2680*1.6*J2680))))</f>
        <v>366</v>
      </c>
      <c r="N2680" s="111">
        <f>IF(M2680=0,0,(M2680/J2680))</f>
        <v>0.75463917525773194</v>
      </c>
    </row>
    <row r="2681" spans="2:14">
      <c r="B2681" s="73">
        <v>127804</v>
      </c>
      <c r="C2681" s="23" t="str">
        <f>"PINELLAS"</f>
        <v>PINELLAS</v>
      </c>
      <c r="D2681" s="123">
        <f>SUMIF(B$3:B$3844,B2681,M$3:M$3844)/(SUMIF(B$3:B$3844,B2681,J$3:J$3844))</f>
        <v>0.6210093385794162</v>
      </c>
      <c r="E2681" s="23">
        <v>16084298</v>
      </c>
      <c r="F2681" s="46" t="s">
        <v>2250</v>
      </c>
      <c r="G2681" s="23"/>
      <c r="H2681" s="23"/>
      <c r="I2681" s="41">
        <v>2</v>
      </c>
      <c r="J2681" s="41">
        <v>39</v>
      </c>
      <c r="K2681" s="20"/>
      <c r="L2681" s="21"/>
      <c r="M2681" s="110">
        <f>IF(L2681="",I2681,(MIN(J2681,(L2681*1.6*J2681))))</f>
        <v>2</v>
      </c>
      <c r="N2681" s="111">
        <f>IF(M2681=0,0,(M2681/J2681))</f>
        <v>5.128205128205128E-2</v>
      </c>
    </row>
    <row r="2682" spans="2:14">
      <c r="B2682" s="72">
        <v>127804</v>
      </c>
      <c r="C2682" s="47" t="str">
        <f>"PINELLAS"</f>
        <v>PINELLAS</v>
      </c>
      <c r="D2682" s="123">
        <f>SUMIF(B$3:B$3844,B2682,M$3:M$3844)/(SUMIF(B$3:B$3844,B2682,J$3:J$3844))</f>
        <v>0.6210093385794162</v>
      </c>
      <c r="E2682" s="47">
        <v>38002</v>
      </c>
      <c r="F2682" s="48" t="str">
        <f>"ANONA ELEMENTARY SCHOOL"</f>
        <v>ANONA ELEMENTARY SCHOOL</v>
      </c>
      <c r="G2682" s="47"/>
      <c r="H2682" s="47"/>
      <c r="I2682" s="40">
        <v>239</v>
      </c>
      <c r="J2682" s="40">
        <v>443</v>
      </c>
      <c r="K2682" s="20"/>
      <c r="L2682" s="21"/>
      <c r="M2682" s="110">
        <f>IF(L2682="",I2682,(MIN(J2682,(L2682*1.6*J2682))))</f>
        <v>239</v>
      </c>
      <c r="N2682" s="111">
        <f>IF(M2682=0,0,(M2682/J2682))</f>
        <v>0.53950338600451464</v>
      </c>
    </row>
    <row r="2683" spans="2:14">
      <c r="B2683" s="73">
        <v>127804</v>
      </c>
      <c r="C2683" s="23" t="str">
        <f>"PINELLAS"</f>
        <v>PINELLAS</v>
      </c>
      <c r="D2683" s="123">
        <f>SUMIF(B$3:B$3844,B2683,M$3:M$3844)/(SUMIF(B$3:B$3844,B2683,J$3:J$3844))</f>
        <v>0.6210093385794162</v>
      </c>
      <c r="E2683" s="23">
        <v>37903</v>
      </c>
      <c r="F2683" s="46" t="str">
        <f>"AZALEA ELEMENTARY SCHOOL"</f>
        <v>AZALEA ELEMENTARY SCHOOL</v>
      </c>
      <c r="G2683" s="23"/>
      <c r="H2683" s="23"/>
      <c r="I2683" s="41">
        <v>358</v>
      </c>
      <c r="J2683" s="41">
        <v>511</v>
      </c>
      <c r="K2683" s="20"/>
      <c r="L2683" s="21"/>
      <c r="M2683" s="110">
        <f>IF(L2683="",I2683,(MIN(J2683,(L2683*1.6*J2683))))</f>
        <v>358</v>
      </c>
      <c r="N2683" s="111">
        <f>IF(M2683=0,0,(M2683/J2683))</f>
        <v>0.70058708414872795</v>
      </c>
    </row>
    <row r="2684" spans="2:14">
      <c r="B2684" s="72">
        <v>127804</v>
      </c>
      <c r="C2684" s="47" t="str">
        <f>"PINELLAS"</f>
        <v>PINELLAS</v>
      </c>
      <c r="D2684" s="123">
        <f>SUMIF(B$3:B$3844,B2684,M$3:M$3844)/(SUMIF(B$3:B$3844,B2684,J$3:J$3844))</f>
        <v>0.6210093385794162</v>
      </c>
      <c r="E2684" s="47">
        <v>37899</v>
      </c>
      <c r="F2684" s="48" t="str">
        <f>"AZALEA MIDDLE SCHOOL"</f>
        <v>AZALEA MIDDLE SCHOOL</v>
      </c>
      <c r="G2684" s="47"/>
      <c r="H2684" s="47"/>
      <c r="I2684" s="40"/>
      <c r="J2684" s="40">
        <v>1040</v>
      </c>
      <c r="K2684" s="20">
        <v>2014</v>
      </c>
      <c r="L2684" s="21">
        <v>0.72959999999999992</v>
      </c>
      <c r="M2684" s="110">
        <f>IF(L2684="",I2684,(MIN(J2684,(L2684*1.6*J2684))))</f>
        <v>1040</v>
      </c>
      <c r="N2684" s="111">
        <f>IF(M2684=0,0,(M2684/J2684))</f>
        <v>1</v>
      </c>
    </row>
    <row r="2685" spans="2:14">
      <c r="B2685" s="73">
        <v>127804</v>
      </c>
      <c r="C2685" s="23" t="str">
        <f>"PINELLAS"</f>
        <v>PINELLAS</v>
      </c>
      <c r="D2685" s="123">
        <f>SUMIF(B$3:B$3844,B2685,M$3:M$3844)/(SUMIF(B$3:B$3844,B2685,J$3:J$3844))</f>
        <v>0.6210093385794162</v>
      </c>
      <c r="E2685" s="23">
        <v>38015</v>
      </c>
      <c r="F2685" s="46" t="str">
        <f>"BARDMOOR ELEMENTARY SCHOOL"</f>
        <v>BARDMOOR ELEMENTARY SCHOOL</v>
      </c>
      <c r="G2685" s="23"/>
      <c r="H2685" s="23"/>
      <c r="I2685" s="41"/>
      <c r="J2685" s="41">
        <v>590</v>
      </c>
      <c r="K2685" s="20">
        <v>2014</v>
      </c>
      <c r="L2685" s="21">
        <v>0.62460000000000004</v>
      </c>
      <c r="M2685" s="110">
        <f>IF(L2685="",I2685,(MIN(J2685,(L2685*1.6*J2685))))</f>
        <v>589.62240000000008</v>
      </c>
      <c r="N2685" s="111">
        <f>IF(M2685=0,0,(M2685/J2685))</f>
        <v>0.99936000000000014</v>
      </c>
    </row>
    <row r="2686" spans="2:14">
      <c r="B2686" s="72">
        <v>127804</v>
      </c>
      <c r="C2686" s="47" t="str">
        <f>"PINELLAS"</f>
        <v>PINELLAS</v>
      </c>
      <c r="D2686" s="123">
        <f>SUMIF(B$3:B$3844,B2686,M$3:M$3844)/(SUMIF(B$3:B$3844,B2686,J$3:J$3844))</f>
        <v>0.6210093385794162</v>
      </c>
      <c r="E2686" s="47">
        <v>38009</v>
      </c>
      <c r="F2686" s="48" t="str">
        <f>"BAUDER ELEMENTARY SCHOOL"</f>
        <v>BAUDER ELEMENTARY SCHOOL</v>
      </c>
      <c r="G2686" s="47"/>
      <c r="H2686" s="47"/>
      <c r="I2686" s="40">
        <v>200</v>
      </c>
      <c r="J2686" s="40">
        <v>749</v>
      </c>
      <c r="K2686" s="20"/>
      <c r="L2686" s="21"/>
      <c r="M2686" s="110">
        <f>IF(L2686="",I2686,(MIN(J2686,(L2686*1.6*J2686))))</f>
        <v>200</v>
      </c>
      <c r="N2686" s="111">
        <f>IF(M2686=0,0,(M2686/J2686))</f>
        <v>0.26702269692923897</v>
      </c>
    </row>
    <row r="2687" spans="2:14">
      <c r="B2687" s="73">
        <v>127804</v>
      </c>
      <c r="C2687" s="23" t="str">
        <f>"PINELLAS"</f>
        <v>PINELLAS</v>
      </c>
      <c r="D2687" s="123">
        <f>SUMIF(B$3:B$3844,B2687,M$3:M$3844)/(SUMIF(B$3:B$3844,B2687,J$3:J$3844))</f>
        <v>0.6210093385794162</v>
      </c>
      <c r="E2687" s="23">
        <v>37921</v>
      </c>
      <c r="F2687" s="46" t="str">
        <f>"BAY POINT ELEMENTARY SCHOOL"</f>
        <v>BAY POINT ELEMENTARY SCHOOL</v>
      </c>
      <c r="G2687" s="23"/>
      <c r="H2687" s="23"/>
      <c r="I2687" s="41"/>
      <c r="J2687" s="41">
        <v>634</v>
      </c>
      <c r="K2687" s="20">
        <v>2015</v>
      </c>
      <c r="L2687" s="21">
        <v>0.53859999999999997</v>
      </c>
      <c r="M2687" s="110">
        <f>IF(L2687="",I2687,(MIN(J2687,(L2687*1.6*J2687))))</f>
        <v>546.35583999999994</v>
      </c>
      <c r="N2687" s="111">
        <f>IF(M2687=0,0,(M2687/J2687))</f>
        <v>0.86175999999999986</v>
      </c>
    </row>
    <row r="2688" spans="2:14">
      <c r="B2688" s="72">
        <v>127804</v>
      </c>
      <c r="C2688" s="47" t="str">
        <f>"PINELLAS"</f>
        <v>PINELLAS</v>
      </c>
      <c r="D2688" s="123">
        <f>SUMIF(B$3:B$3844,B2688,M$3:M$3844)/(SUMIF(B$3:B$3844,B2688,J$3:J$3844))</f>
        <v>0.6210093385794162</v>
      </c>
      <c r="E2688" s="47">
        <v>37922</v>
      </c>
      <c r="F2688" s="48" t="str">
        <f>"BAY POINT MIDDLE SCHOOL"</f>
        <v>BAY POINT MIDDLE SCHOOL</v>
      </c>
      <c r="G2688" s="47"/>
      <c r="H2688" s="47"/>
      <c r="I2688" s="40"/>
      <c r="J2688" s="40">
        <v>906</v>
      </c>
      <c r="K2688" s="20">
        <v>2014</v>
      </c>
      <c r="L2688" s="21">
        <v>0.59960000000000002</v>
      </c>
      <c r="M2688" s="110">
        <f>IF(L2688="",I2688,(MIN(J2688,(L2688*1.6*J2688))))</f>
        <v>869.18016000000011</v>
      </c>
      <c r="N2688" s="111">
        <f>IF(M2688=0,0,(M2688/J2688))</f>
        <v>0.9593600000000001</v>
      </c>
    </row>
    <row r="2689" spans="2:14">
      <c r="B2689" s="73">
        <v>127804</v>
      </c>
      <c r="C2689" s="23" t="str">
        <f>"PINELLAS"</f>
        <v>PINELLAS</v>
      </c>
      <c r="D2689" s="123">
        <f>SUMIF(B$3:B$3844,B2689,M$3:M$3844)/(SUMIF(B$3:B$3844,B2689,J$3:J$3844))</f>
        <v>0.6210093385794162</v>
      </c>
      <c r="E2689" s="23">
        <v>37878</v>
      </c>
      <c r="F2689" s="46" t="s">
        <v>2251</v>
      </c>
      <c r="G2689" s="23"/>
      <c r="H2689" s="23"/>
      <c r="I2689" s="41">
        <v>243</v>
      </c>
      <c r="J2689" s="41">
        <v>645</v>
      </c>
      <c r="K2689" s="20"/>
      <c r="L2689" s="21"/>
      <c r="M2689" s="110">
        <f>IF(L2689="",I2689,(MIN(J2689,(L2689*1.6*J2689))))</f>
        <v>243</v>
      </c>
      <c r="N2689" s="111">
        <f>IF(M2689=0,0,(M2689/J2689))</f>
        <v>0.37674418604651161</v>
      </c>
    </row>
    <row r="2690" spans="2:14">
      <c r="B2690" s="72">
        <v>127804</v>
      </c>
      <c r="C2690" s="47" t="str">
        <f>"PINELLAS"</f>
        <v>PINELLAS</v>
      </c>
      <c r="D2690" s="123">
        <f>SUMIF(B$3:B$3844,B2690,M$3:M$3844)/(SUMIF(B$3:B$3844,B2690,J$3:J$3844))</f>
        <v>0.6210093385794162</v>
      </c>
      <c r="E2690" s="47">
        <v>16028372</v>
      </c>
      <c r="F2690" s="48" t="str">
        <f>"BAYSIDE HIGH SCHOOL"</f>
        <v>BAYSIDE HIGH SCHOOL</v>
      </c>
      <c r="G2690" s="47"/>
      <c r="H2690" s="47"/>
      <c r="I2690" s="40"/>
      <c r="J2690" s="40">
        <v>290</v>
      </c>
      <c r="K2690" s="20">
        <v>2014</v>
      </c>
      <c r="L2690" s="21">
        <v>0.62970000000000004</v>
      </c>
      <c r="M2690" s="110">
        <f>IF(L2690="",I2690,(MIN(J2690,(L2690*1.6*J2690))))</f>
        <v>290</v>
      </c>
      <c r="N2690" s="111">
        <f>IF(M2690=0,0,(M2690/J2690))</f>
        <v>1</v>
      </c>
    </row>
    <row r="2691" spans="2:14">
      <c r="B2691" s="73">
        <v>127804</v>
      </c>
      <c r="C2691" s="23" t="str">
        <f>"PINELLAS"</f>
        <v>PINELLAS</v>
      </c>
      <c r="D2691" s="123">
        <f>SUMIF(B$3:B$3844,B2691,M$3:M$3844)/(SUMIF(B$3:B$3844,B2691,J$3:J$3844))</f>
        <v>0.6210093385794162</v>
      </c>
      <c r="E2691" s="23">
        <v>37882</v>
      </c>
      <c r="F2691" s="46" t="str">
        <f>"BEAR CREEK ELEMENTARY SCHOOL"</f>
        <v>BEAR CREEK ELEMENTARY SCHOOL</v>
      </c>
      <c r="G2691" s="23"/>
      <c r="H2691" s="23"/>
      <c r="I2691" s="41"/>
      <c r="J2691" s="41">
        <v>346</v>
      </c>
      <c r="K2691" s="20">
        <v>2014</v>
      </c>
      <c r="L2691" s="21">
        <v>0.79480000000000006</v>
      </c>
      <c r="M2691" s="110">
        <f>IF(L2691="",I2691,(MIN(J2691,(L2691*1.6*J2691))))</f>
        <v>346</v>
      </c>
      <c r="N2691" s="111">
        <f>IF(M2691=0,0,(M2691/J2691))</f>
        <v>1</v>
      </c>
    </row>
    <row r="2692" spans="2:14">
      <c r="B2692" s="72">
        <v>127804</v>
      </c>
      <c r="C2692" s="47" t="str">
        <f>"PINELLAS"</f>
        <v>PINELLAS</v>
      </c>
      <c r="D2692" s="123">
        <f>SUMIF(B$3:B$3844,B2692,M$3:M$3844)/(SUMIF(B$3:B$3844,B2692,J$3:J$3844))</f>
        <v>0.6210093385794162</v>
      </c>
      <c r="E2692" s="47">
        <v>37973</v>
      </c>
      <c r="F2692" s="48" t="str">
        <f>"BELCHER ELEMENTARY SCHOOL"</f>
        <v>BELCHER ELEMENTARY SCHOOL</v>
      </c>
      <c r="G2692" s="47"/>
      <c r="H2692" s="47"/>
      <c r="I2692" s="40">
        <v>461</v>
      </c>
      <c r="J2692" s="40">
        <v>677</v>
      </c>
      <c r="K2692" s="20"/>
      <c r="L2692" s="21"/>
      <c r="M2692" s="110">
        <f>IF(L2692="",I2692,(MIN(J2692,(L2692*1.6*J2692))))</f>
        <v>461</v>
      </c>
      <c r="N2692" s="111">
        <f>IF(M2692=0,0,(M2692/J2692))</f>
        <v>0.68094534711964549</v>
      </c>
    </row>
    <row r="2693" spans="2:14">
      <c r="B2693" s="73">
        <v>127804</v>
      </c>
      <c r="C2693" s="23" t="str">
        <f>"PINELLAS"</f>
        <v>PINELLAS</v>
      </c>
      <c r="D2693" s="123">
        <f>SUMIF(B$3:B$3844,B2693,M$3:M$3844)/(SUMIF(B$3:B$3844,B2693,J$3:J$3844))</f>
        <v>0.6210093385794162</v>
      </c>
      <c r="E2693" s="23">
        <v>37952</v>
      </c>
      <c r="F2693" s="46" t="str">
        <f>"BELLEAIR ELEMENTARY SCHOOL"</f>
        <v>BELLEAIR ELEMENTARY SCHOOL</v>
      </c>
      <c r="G2693" s="23"/>
      <c r="H2693" s="23"/>
      <c r="I2693" s="41"/>
      <c r="J2693" s="41">
        <v>631</v>
      </c>
      <c r="K2693" s="20">
        <v>2014</v>
      </c>
      <c r="L2693" s="21">
        <v>0.79720000000000002</v>
      </c>
      <c r="M2693" s="110">
        <f>IF(L2693="",I2693,(MIN(J2693,(L2693*1.6*J2693))))</f>
        <v>631</v>
      </c>
      <c r="N2693" s="111">
        <f>IF(M2693=0,0,(M2693/J2693))</f>
        <v>1</v>
      </c>
    </row>
    <row r="2694" spans="2:14">
      <c r="B2694" s="72">
        <v>127804</v>
      </c>
      <c r="C2694" s="47" t="str">
        <f>"PINELLAS"</f>
        <v>PINELLAS</v>
      </c>
      <c r="D2694" s="123">
        <f>SUMIF(B$3:B$3844,B2694,M$3:M$3844)/(SUMIF(B$3:B$3844,B2694,J$3:J$3844))</f>
        <v>0.6210093385794162</v>
      </c>
      <c r="E2694" s="47">
        <v>37893</v>
      </c>
      <c r="F2694" s="48" t="str">
        <f>"BLANTON ELEMENTARY SCHOOL"</f>
        <v>BLANTON ELEMENTARY SCHOOL</v>
      </c>
      <c r="G2694" s="47"/>
      <c r="H2694" s="47"/>
      <c r="I2694" s="40"/>
      <c r="J2694" s="40">
        <v>549</v>
      </c>
      <c r="K2694" s="20">
        <v>2014</v>
      </c>
      <c r="L2694" s="21">
        <v>0.65949999999999998</v>
      </c>
      <c r="M2694" s="110">
        <f>IF(L2694="",I2694,(MIN(J2694,(L2694*1.6*J2694))))</f>
        <v>549</v>
      </c>
      <c r="N2694" s="111">
        <f>IF(M2694=0,0,(M2694/J2694))</f>
        <v>1</v>
      </c>
    </row>
    <row r="2695" spans="2:14">
      <c r="B2695" s="73">
        <v>127804</v>
      </c>
      <c r="C2695" s="23" t="str">
        <f>"PINELLAS"</f>
        <v>PINELLAS</v>
      </c>
      <c r="D2695" s="123">
        <f>SUMIF(B$3:B$3844,B2695,M$3:M$3844)/(SUMIF(B$3:B$3844,B2695,J$3:J$3844))</f>
        <v>0.6210093385794162</v>
      </c>
      <c r="E2695" s="23">
        <v>37884</v>
      </c>
      <c r="F2695" s="46" t="str">
        <f>"BOCA CIEGA HIGH SCHOOL"</f>
        <v>BOCA CIEGA HIGH SCHOOL</v>
      </c>
      <c r="G2695" s="23"/>
      <c r="H2695" s="23"/>
      <c r="I2695" s="41"/>
      <c r="J2695" s="41">
        <v>1705</v>
      </c>
      <c r="K2695" s="20">
        <v>2014</v>
      </c>
      <c r="L2695" s="21">
        <v>0.47139999999999999</v>
      </c>
      <c r="M2695" s="110">
        <f>IF(L2695="",I2695,(MIN(J2695,(L2695*1.6*J2695))))</f>
        <v>1285.9792</v>
      </c>
      <c r="N2695" s="111">
        <f>IF(M2695=0,0,(M2695/J2695))</f>
        <v>0.75424000000000002</v>
      </c>
    </row>
    <row r="2696" spans="2:14">
      <c r="B2696" s="72">
        <v>127804</v>
      </c>
      <c r="C2696" s="47" t="str">
        <f>"PINELLAS"</f>
        <v>PINELLAS</v>
      </c>
      <c r="D2696" s="123">
        <f>SUMIF(B$3:B$3844,B2696,M$3:M$3844)/(SUMIF(B$3:B$3844,B2696,J$3:J$3844))</f>
        <v>0.6210093385794162</v>
      </c>
      <c r="E2696" s="47">
        <v>160988</v>
      </c>
      <c r="F2696" s="48" t="s">
        <v>2252</v>
      </c>
      <c r="G2696" s="47"/>
      <c r="H2696" s="47"/>
      <c r="I2696" s="40">
        <v>68</v>
      </c>
      <c r="J2696" s="40">
        <v>535</v>
      </c>
      <c r="K2696" s="20"/>
      <c r="L2696" s="21"/>
      <c r="M2696" s="110">
        <f>IF(L2696="",I2696,(MIN(J2696,(L2696*1.6*J2696))))</f>
        <v>68</v>
      </c>
      <c r="N2696" s="111">
        <f>IF(M2696=0,0,(M2696/J2696))</f>
        <v>0.12710280373831775</v>
      </c>
    </row>
    <row r="2697" spans="2:14">
      <c r="B2697" s="73">
        <v>127804</v>
      </c>
      <c r="C2697" s="23" t="str">
        <f>"PINELLAS"</f>
        <v>PINELLAS</v>
      </c>
      <c r="D2697" s="123">
        <f>SUMIF(B$3:B$3844,B2697,M$3:M$3844)/(SUMIF(B$3:B$3844,B2697,J$3:J$3844))</f>
        <v>0.6210093385794162</v>
      </c>
      <c r="E2697" s="23">
        <v>37939</v>
      </c>
      <c r="F2697" s="46" t="str">
        <f>"CALVIN A. HUNSINGER SCHOOL"</f>
        <v>CALVIN A. HUNSINGER SCHOOL</v>
      </c>
      <c r="G2697" s="23"/>
      <c r="H2697" s="23"/>
      <c r="I2697" s="41"/>
      <c r="J2697" s="41">
        <v>95</v>
      </c>
      <c r="K2697" s="20">
        <v>2014</v>
      </c>
      <c r="L2697" s="21">
        <v>0.68</v>
      </c>
      <c r="M2697" s="110">
        <f>IF(L2697="",I2697,(MIN(J2697,(L2697*1.6*J2697))))</f>
        <v>95</v>
      </c>
      <c r="N2697" s="111">
        <f>IF(M2697=0,0,(M2697/J2697))</f>
        <v>1</v>
      </c>
    </row>
    <row r="2698" spans="2:14">
      <c r="B2698" s="72">
        <v>127804</v>
      </c>
      <c r="C2698" s="47" t="str">
        <f>"PINELLAS"</f>
        <v>PINELLAS</v>
      </c>
      <c r="D2698" s="123">
        <f>SUMIF(B$3:B$3844,B2698,M$3:M$3844)/(SUMIF(B$3:B$3844,B2698,J$3:J$3844))</f>
        <v>0.6210093385794162</v>
      </c>
      <c r="E2698" s="47">
        <v>37873</v>
      </c>
      <c r="F2698" s="48" t="s">
        <v>2253</v>
      </c>
      <c r="G2698" s="47"/>
      <c r="H2698" s="47"/>
      <c r="I2698" s="40"/>
      <c r="J2698" s="40">
        <v>636</v>
      </c>
      <c r="K2698" s="20">
        <v>2014</v>
      </c>
      <c r="L2698" s="21">
        <v>0.87260000000000004</v>
      </c>
      <c r="M2698" s="110">
        <f>IF(L2698="",I2698,(MIN(J2698,(L2698*1.6*J2698))))</f>
        <v>636</v>
      </c>
      <c r="N2698" s="111">
        <f>IF(M2698=0,0,(M2698/J2698))</f>
        <v>1</v>
      </c>
    </row>
    <row r="2699" spans="2:14">
      <c r="B2699" s="73">
        <v>127804</v>
      </c>
      <c r="C2699" s="23" t="str">
        <f>"PINELLAS"</f>
        <v>PINELLAS</v>
      </c>
      <c r="D2699" s="123">
        <f>SUMIF(B$3:B$3844,B2699,M$3:M$3844)/(SUMIF(B$3:B$3844,B2699,J$3:J$3844))</f>
        <v>0.6210093385794162</v>
      </c>
      <c r="E2699" s="23">
        <v>16070285</v>
      </c>
      <c r="F2699" s="46" t="str">
        <f>"CAREER ACADEMIES OF SEMINOLE"</f>
        <v>CAREER ACADEMIES OF SEMINOLE</v>
      </c>
      <c r="G2699" s="23"/>
      <c r="H2699" s="23"/>
      <c r="I2699" s="41"/>
      <c r="J2699" s="41">
        <v>0</v>
      </c>
      <c r="K2699" s="20"/>
      <c r="L2699" s="21"/>
      <c r="M2699" s="110">
        <f>IF(L2699="",I2699,(MIN(J2699,(L2699*1.6*J2699))))</f>
        <v>0</v>
      </c>
      <c r="N2699" s="111">
        <f>IF(M2699=0,0,(M2699/J2699))</f>
        <v>0</v>
      </c>
    </row>
    <row r="2700" spans="2:14">
      <c r="B2700" s="72">
        <v>127804</v>
      </c>
      <c r="C2700" s="47" t="str">
        <f>"PINELLAS"</f>
        <v>PINELLAS</v>
      </c>
      <c r="D2700" s="123">
        <f>SUMIF(B$3:B$3844,B2700,M$3:M$3844)/(SUMIF(B$3:B$3844,B2700,J$3:J$3844))</f>
        <v>0.6210093385794162</v>
      </c>
      <c r="E2700" s="47">
        <v>213290</v>
      </c>
      <c r="F2700" s="48" t="str">
        <f>"CHARLES BRITT ACADEMY"</f>
        <v>CHARLES BRITT ACADEMY</v>
      </c>
      <c r="G2700" s="47"/>
      <c r="H2700" s="47"/>
      <c r="I2700" s="40">
        <v>1</v>
      </c>
      <c r="J2700" s="40">
        <v>28</v>
      </c>
      <c r="K2700" s="20"/>
      <c r="L2700" s="21"/>
      <c r="M2700" s="110">
        <f>IF(L2700="",I2700,(MIN(J2700,(L2700*1.6*J2700))))</f>
        <v>1</v>
      </c>
      <c r="N2700" s="111">
        <f>IF(M2700=0,0,(M2700/J2700))</f>
        <v>3.5714285714285712E-2</v>
      </c>
    </row>
    <row r="2701" spans="2:14">
      <c r="B2701" s="73">
        <v>127804</v>
      </c>
      <c r="C2701" s="23" t="str">
        <f>"PINELLAS"</f>
        <v>PINELLAS</v>
      </c>
      <c r="D2701" s="123">
        <f>SUMIF(B$3:B$3844,B2701,M$3:M$3844)/(SUMIF(B$3:B$3844,B2701,J$3:J$3844))</f>
        <v>0.6210093385794162</v>
      </c>
      <c r="E2701" s="23">
        <v>16070286</v>
      </c>
      <c r="F2701" s="46" t="str">
        <f>"CHI CHI RODRIQUEZ ACADEMY"</f>
        <v>CHI CHI RODRIQUEZ ACADEMY</v>
      </c>
      <c r="G2701" s="23"/>
      <c r="H2701" s="23"/>
      <c r="I2701" s="41"/>
      <c r="J2701" s="41">
        <v>79</v>
      </c>
      <c r="K2701" s="20">
        <v>2014</v>
      </c>
      <c r="L2701" s="21">
        <v>0.7</v>
      </c>
      <c r="M2701" s="110">
        <f>IF(L2701="",I2701,(MIN(J2701,(L2701*1.6*J2701))))</f>
        <v>79</v>
      </c>
      <c r="N2701" s="111">
        <f>IF(M2701=0,0,(M2701/J2701))</f>
        <v>1</v>
      </c>
    </row>
    <row r="2702" spans="2:14">
      <c r="B2702" s="72">
        <v>127804</v>
      </c>
      <c r="C2702" s="47" t="str">
        <f>"PINELLAS"</f>
        <v>PINELLAS</v>
      </c>
      <c r="D2702" s="123">
        <f>SUMIF(B$3:B$3844,B2702,M$3:M$3844)/(SUMIF(B$3:B$3844,B2702,J$3:J$3844))</f>
        <v>0.6210093385794162</v>
      </c>
      <c r="E2702" s="47">
        <v>16066610</v>
      </c>
      <c r="F2702" s="48" t="str">
        <f>"CLEARVIEW AVENUE ELEM. SCHOOL"</f>
        <v>CLEARVIEW AVENUE ELEM. SCHOOL</v>
      </c>
      <c r="G2702" s="47"/>
      <c r="H2702" s="47"/>
      <c r="I2702" s="40"/>
      <c r="J2702" s="40">
        <v>0</v>
      </c>
      <c r="K2702" s="20"/>
      <c r="L2702" s="21"/>
      <c r="M2702" s="110">
        <f>IF(L2702="",I2702,(MIN(J2702,(L2702*1.6*J2702))))</f>
        <v>0</v>
      </c>
      <c r="N2702" s="111">
        <f>IF(M2702=0,0,(M2702/J2702))</f>
        <v>0</v>
      </c>
    </row>
    <row r="2703" spans="2:14">
      <c r="B2703" s="73">
        <v>127804</v>
      </c>
      <c r="C2703" s="23" t="str">
        <f>"PINELLAS"</f>
        <v>PINELLAS</v>
      </c>
      <c r="D2703" s="123">
        <f>SUMIF(B$3:B$3844,B2703,M$3:M$3844)/(SUMIF(B$3:B$3844,B2703,J$3:J$3844))</f>
        <v>0.6210093385794162</v>
      </c>
      <c r="E2703" s="23">
        <v>37970</v>
      </c>
      <c r="F2703" s="46" t="s">
        <v>2254</v>
      </c>
      <c r="G2703" s="23"/>
      <c r="H2703" s="23"/>
      <c r="I2703" s="41"/>
      <c r="J2703" s="41">
        <v>1</v>
      </c>
      <c r="K2703" s="20"/>
      <c r="L2703" s="21"/>
      <c r="M2703" s="110">
        <f>IF(L2703="",I2703,(MIN(J2703,(L2703*1.6*J2703))))</f>
        <v>0</v>
      </c>
      <c r="N2703" s="111">
        <f>IF(M2703=0,0,(M2703/J2703))</f>
        <v>0</v>
      </c>
    </row>
    <row r="2704" spans="2:14">
      <c r="B2704" s="72">
        <v>127804</v>
      </c>
      <c r="C2704" s="47" t="str">
        <f>"PINELLAS"</f>
        <v>PINELLAS</v>
      </c>
      <c r="D2704" s="123">
        <f>SUMIF(B$3:B$3844,B2704,M$3:M$3844)/(SUMIF(B$3:B$3844,B2704,J$3:J$3844))</f>
        <v>0.6210093385794162</v>
      </c>
      <c r="E2704" s="47">
        <v>37947</v>
      </c>
      <c r="F2704" s="48" t="s">
        <v>2255</v>
      </c>
      <c r="G2704" s="47"/>
      <c r="H2704" s="47"/>
      <c r="I2704" s="40">
        <v>212</v>
      </c>
      <c r="J2704" s="40">
        <v>825</v>
      </c>
      <c r="K2704" s="20"/>
      <c r="L2704" s="21"/>
      <c r="M2704" s="110">
        <f>IF(L2704="",I2704,(MIN(J2704,(L2704*1.6*J2704))))</f>
        <v>212</v>
      </c>
      <c r="N2704" s="111">
        <f>IF(M2704=0,0,(M2704/J2704))</f>
        <v>0.25696969696969696</v>
      </c>
    </row>
    <row r="2705" spans="2:14">
      <c r="B2705" s="73">
        <v>127804</v>
      </c>
      <c r="C2705" s="23" t="str">
        <f>"PINELLAS"</f>
        <v>PINELLAS</v>
      </c>
      <c r="D2705" s="123">
        <f>SUMIF(B$3:B$3844,B2705,M$3:M$3844)/(SUMIF(B$3:B$3844,B2705,J$3:J$3844))</f>
        <v>0.6210093385794162</v>
      </c>
      <c r="E2705" s="23">
        <v>37971</v>
      </c>
      <c r="F2705" s="46" t="str">
        <f>"CLEARWATER HIGH SCHOOL"</f>
        <v>CLEARWATER HIGH SCHOOL</v>
      </c>
      <c r="G2705" s="23"/>
      <c r="H2705" s="23"/>
      <c r="I2705" s="41">
        <v>1131</v>
      </c>
      <c r="J2705" s="41">
        <v>2037</v>
      </c>
      <c r="K2705" s="20"/>
      <c r="L2705" s="21"/>
      <c r="M2705" s="110">
        <f>IF(L2705="",I2705,(MIN(J2705,(L2705*1.6*J2705))))</f>
        <v>1131</v>
      </c>
      <c r="N2705" s="111">
        <f>IF(M2705=0,0,(M2705/J2705))</f>
        <v>0.55522827687776144</v>
      </c>
    </row>
    <row r="2706" spans="2:14">
      <c r="B2706" s="72">
        <v>127804</v>
      </c>
      <c r="C2706" s="47" t="str">
        <f>"PINELLAS"</f>
        <v>PINELLAS</v>
      </c>
      <c r="D2706" s="123">
        <f>SUMIF(B$3:B$3844,B2706,M$3:M$3844)/(SUMIF(B$3:B$3844,B2706,J$3:J$3844))</f>
        <v>0.6210093385794162</v>
      </c>
      <c r="E2706" s="47">
        <v>37945</v>
      </c>
      <c r="F2706" s="48" t="str">
        <f>"CLEARWATER INTERMEDIATE"</f>
        <v>CLEARWATER INTERMEDIATE</v>
      </c>
      <c r="G2706" s="47"/>
      <c r="H2706" s="47"/>
      <c r="I2706" s="40"/>
      <c r="J2706" s="40">
        <v>306</v>
      </c>
      <c r="K2706" s="20">
        <v>2014</v>
      </c>
      <c r="L2706" s="21">
        <v>0.76269999999999993</v>
      </c>
      <c r="M2706" s="110">
        <f>IF(L2706="",I2706,(MIN(J2706,(L2706*1.6*J2706))))</f>
        <v>306</v>
      </c>
      <c r="N2706" s="111">
        <f>IF(M2706=0,0,(M2706/J2706))</f>
        <v>1</v>
      </c>
    </row>
    <row r="2707" spans="2:14">
      <c r="B2707" s="73">
        <v>127804</v>
      </c>
      <c r="C2707" s="23" t="str">
        <f>"PINELLAS"</f>
        <v>PINELLAS</v>
      </c>
      <c r="D2707" s="123">
        <f>SUMIF(B$3:B$3844,B2707,M$3:M$3844)/(SUMIF(B$3:B$3844,B2707,J$3:J$3844))</f>
        <v>0.6210093385794162</v>
      </c>
      <c r="E2707" s="23">
        <v>16066656</v>
      </c>
      <c r="F2707" s="46" t="str">
        <f>"COACHMAN SERVICE CENTER"</f>
        <v>COACHMAN SERVICE CENTER</v>
      </c>
      <c r="G2707" s="23"/>
      <c r="H2707" s="23"/>
      <c r="I2707" s="41"/>
      <c r="J2707" s="41">
        <v>0</v>
      </c>
      <c r="K2707" s="20"/>
      <c r="L2707" s="21"/>
      <c r="M2707" s="110">
        <f>IF(L2707="",I2707,(MIN(J2707,(L2707*1.6*J2707))))</f>
        <v>0</v>
      </c>
      <c r="N2707" s="111">
        <f>IF(M2707=0,0,(M2707/J2707))</f>
        <v>0</v>
      </c>
    </row>
    <row r="2708" spans="2:14">
      <c r="B2708" s="72">
        <v>127804</v>
      </c>
      <c r="C2708" s="47" t="str">
        <f>"PINELLAS"</f>
        <v>PINELLAS</v>
      </c>
      <c r="D2708" s="123">
        <f>SUMIF(B$3:B$3844,B2708,M$3:M$3844)/(SUMIF(B$3:B$3844,B2708,J$3:J$3844))</f>
        <v>0.6210093385794162</v>
      </c>
      <c r="E2708" s="47">
        <v>37965</v>
      </c>
      <c r="F2708" s="48" t="str">
        <f>"COUNTRYSIDE HIGH SCHOOL"</f>
        <v>COUNTRYSIDE HIGH SCHOOL</v>
      </c>
      <c r="G2708" s="47"/>
      <c r="H2708" s="47"/>
      <c r="I2708" s="40">
        <v>853</v>
      </c>
      <c r="J2708" s="40">
        <v>2103</v>
      </c>
      <c r="K2708" s="20"/>
      <c r="L2708" s="21"/>
      <c r="M2708" s="110">
        <f>IF(L2708="",I2708,(MIN(J2708,(L2708*1.6*J2708))))</f>
        <v>853</v>
      </c>
      <c r="N2708" s="111">
        <f>IF(M2708=0,0,(M2708/J2708))</f>
        <v>0.40561103185924868</v>
      </c>
    </row>
    <row r="2709" spans="2:14">
      <c r="B2709" s="73">
        <v>127804</v>
      </c>
      <c r="C2709" s="23" t="str">
        <f>"PINELLAS"</f>
        <v>PINELLAS</v>
      </c>
      <c r="D2709" s="123">
        <f>SUMIF(B$3:B$3844,B2709,M$3:M$3844)/(SUMIF(B$3:B$3844,B2709,J$3:J$3844))</f>
        <v>0.6210093385794162</v>
      </c>
      <c r="E2709" s="23">
        <v>38029</v>
      </c>
      <c r="F2709" s="46" t="str">
        <f>"CROSS BAYOU ELEMENTARY SCHOOL"</f>
        <v>CROSS BAYOU ELEMENTARY SCHOOL</v>
      </c>
      <c r="G2709" s="23"/>
      <c r="H2709" s="23"/>
      <c r="I2709" s="41">
        <v>314</v>
      </c>
      <c r="J2709" s="41">
        <v>454</v>
      </c>
      <c r="K2709" s="20"/>
      <c r="L2709" s="21"/>
      <c r="M2709" s="110">
        <f>IF(L2709="",I2709,(MIN(J2709,(L2709*1.6*J2709))))</f>
        <v>314</v>
      </c>
      <c r="N2709" s="111">
        <f>IF(M2709=0,0,(M2709/J2709))</f>
        <v>0.69162995594713661</v>
      </c>
    </row>
    <row r="2710" spans="2:14">
      <c r="B2710" s="72">
        <v>127804</v>
      </c>
      <c r="C2710" s="47" t="str">
        <f>"PINELLAS"</f>
        <v>PINELLAS</v>
      </c>
      <c r="D2710" s="123">
        <f>SUMIF(B$3:B$3844,B2710,M$3:M$3844)/(SUMIF(B$3:B$3844,B2710,J$3:J$3844))</f>
        <v>0.6210093385794162</v>
      </c>
      <c r="E2710" s="47">
        <v>38691</v>
      </c>
      <c r="F2710" s="48" t="str">
        <f>"CURLEW CREEK ELEMENTARY SCHOOL"</f>
        <v>CURLEW CREEK ELEMENTARY SCHOOL</v>
      </c>
      <c r="G2710" s="47"/>
      <c r="H2710" s="47"/>
      <c r="I2710" s="40">
        <v>286</v>
      </c>
      <c r="J2710" s="40">
        <v>698</v>
      </c>
      <c r="K2710" s="20"/>
      <c r="L2710" s="21"/>
      <c r="M2710" s="110">
        <f>IF(L2710="",I2710,(MIN(J2710,(L2710*1.6*J2710))))</f>
        <v>286</v>
      </c>
      <c r="N2710" s="111">
        <f>IF(M2710=0,0,(M2710/J2710))</f>
        <v>0.40974212034383956</v>
      </c>
    </row>
    <row r="2711" spans="2:14">
      <c r="B2711" s="73">
        <v>127804</v>
      </c>
      <c r="C2711" s="23" t="str">
        <f>"PINELLAS"</f>
        <v>PINELLAS</v>
      </c>
      <c r="D2711" s="123">
        <f>SUMIF(B$3:B$3844,B2711,M$3:M$3844)/(SUMIF(B$3:B$3844,B2711,J$3:J$3844))</f>
        <v>0.6210093385794162</v>
      </c>
      <c r="E2711" s="23">
        <v>16049693</v>
      </c>
      <c r="F2711" s="46" t="str">
        <f>"CURTIS FUNDAMENTAL ELEMENTARY"</f>
        <v>CURTIS FUNDAMENTAL ELEMENTARY</v>
      </c>
      <c r="G2711" s="23"/>
      <c r="H2711" s="23"/>
      <c r="I2711" s="41">
        <v>88</v>
      </c>
      <c r="J2711" s="41">
        <v>536</v>
      </c>
      <c r="K2711" s="20"/>
      <c r="L2711" s="21"/>
      <c r="M2711" s="110">
        <f>IF(L2711="",I2711,(MIN(J2711,(L2711*1.6*J2711))))</f>
        <v>88</v>
      </c>
      <c r="N2711" s="111">
        <f>IF(M2711=0,0,(M2711/J2711))</f>
        <v>0.16417910447761194</v>
      </c>
    </row>
    <row r="2712" spans="2:14">
      <c r="B2712" s="72">
        <v>127804</v>
      </c>
      <c r="C2712" s="47" t="str">
        <f>"PINELLAS"</f>
        <v>PINELLAS</v>
      </c>
      <c r="D2712" s="123">
        <f>SUMIF(B$3:B$3844,B2712,M$3:M$3844)/(SUMIF(B$3:B$3844,B2712,J$3:J$3844))</f>
        <v>0.6210093385794162</v>
      </c>
      <c r="E2712" s="47">
        <v>38692</v>
      </c>
      <c r="F2712" s="48" t="s">
        <v>2256</v>
      </c>
      <c r="G2712" s="47"/>
      <c r="H2712" s="47"/>
      <c r="I2712" s="40">
        <v>220</v>
      </c>
      <c r="J2712" s="40">
        <v>814</v>
      </c>
      <c r="K2712" s="20"/>
      <c r="L2712" s="21"/>
      <c r="M2712" s="110">
        <f>IF(L2712="",I2712,(MIN(J2712,(L2712*1.6*J2712))))</f>
        <v>220</v>
      </c>
      <c r="N2712" s="111">
        <f>IF(M2712=0,0,(M2712/J2712))</f>
        <v>0.27027027027027029</v>
      </c>
    </row>
    <row r="2713" spans="2:14">
      <c r="B2713" s="73">
        <v>127804</v>
      </c>
      <c r="C2713" s="23" t="str">
        <f>"PINELLAS"</f>
        <v>PINELLAS</v>
      </c>
      <c r="D2713" s="123">
        <f>SUMIF(B$3:B$3844,B2713,M$3:M$3844)/(SUMIF(B$3:B$3844,B2713,J$3:J$3844))</f>
        <v>0.6210093385794162</v>
      </c>
      <c r="E2713" s="23">
        <v>16036878</v>
      </c>
      <c r="F2713" s="46" t="str">
        <f>"DISSTON GIFTED CENTER"</f>
        <v>DISSTON GIFTED CENTER</v>
      </c>
      <c r="G2713" s="23"/>
      <c r="H2713" s="23"/>
      <c r="I2713" s="41"/>
      <c r="J2713" s="41">
        <v>0</v>
      </c>
      <c r="K2713" s="20"/>
      <c r="L2713" s="21"/>
      <c r="M2713" s="110">
        <f>IF(L2713="",I2713,(MIN(J2713,(L2713*1.6*J2713))))</f>
        <v>0</v>
      </c>
      <c r="N2713" s="111">
        <f>IF(M2713=0,0,(M2713/J2713))</f>
        <v>0</v>
      </c>
    </row>
    <row r="2714" spans="2:14">
      <c r="B2714" s="72">
        <v>127804</v>
      </c>
      <c r="C2714" s="47" t="str">
        <f>"PINELLAS"</f>
        <v>PINELLAS</v>
      </c>
      <c r="D2714" s="123">
        <f>SUMIF(B$3:B$3844,B2714,M$3:M$3844)/(SUMIF(B$3:B$3844,B2714,J$3:J$3844))</f>
        <v>0.6210093385794162</v>
      </c>
      <c r="E2714" s="47">
        <v>37894</v>
      </c>
      <c r="F2714" s="48" t="s">
        <v>2257</v>
      </c>
      <c r="G2714" s="47"/>
      <c r="H2714" s="47"/>
      <c r="I2714" s="40"/>
      <c r="J2714" s="40">
        <v>0</v>
      </c>
      <c r="K2714" s="20"/>
      <c r="L2714" s="21"/>
      <c r="M2714" s="110">
        <f>IF(L2714="",I2714,(MIN(J2714,(L2714*1.6*J2714))))</f>
        <v>0</v>
      </c>
      <c r="N2714" s="111">
        <f>IF(M2714=0,0,(M2714/J2714))</f>
        <v>0</v>
      </c>
    </row>
    <row r="2715" spans="2:14">
      <c r="B2715" s="73">
        <v>127804</v>
      </c>
      <c r="C2715" s="23" t="str">
        <f>"PINELLAS"</f>
        <v>PINELLAS</v>
      </c>
      <c r="D2715" s="123">
        <f>SUMIF(B$3:B$3844,B2715,M$3:M$3844)/(SUMIF(B$3:B$3844,B2715,J$3:J$3844))</f>
        <v>0.6210093385794162</v>
      </c>
      <c r="E2715" s="23">
        <v>37895</v>
      </c>
      <c r="F2715" s="46" t="str">
        <f>"DIXIE M. HOLLINS HIGH SCHOOL"</f>
        <v>DIXIE M. HOLLINS HIGH SCHOOL</v>
      </c>
      <c r="G2715" s="23"/>
      <c r="H2715" s="23"/>
      <c r="I2715" s="41"/>
      <c r="J2715" s="41">
        <v>1936</v>
      </c>
      <c r="K2715" s="20">
        <v>2014</v>
      </c>
      <c r="L2715" s="21">
        <v>0.46149999999999997</v>
      </c>
      <c r="M2715" s="110">
        <f>IF(L2715="",I2715,(MIN(J2715,(L2715*1.6*J2715))))</f>
        <v>1429.5423999999998</v>
      </c>
      <c r="N2715" s="111">
        <f>IF(M2715=0,0,(M2715/J2715))</f>
        <v>0.73839999999999995</v>
      </c>
    </row>
    <row r="2716" spans="2:14">
      <c r="B2716" s="72">
        <v>127804</v>
      </c>
      <c r="C2716" s="47" t="str">
        <f>"PINELLAS"</f>
        <v>PINELLAS</v>
      </c>
      <c r="D2716" s="123">
        <f>SUMIF(B$3:B$3844,B2716,M$3:M$3844)/(SUMIF(B$3:B$3844,B2716,J$3:J$3844))</f>
        <v>0.6210093385794162</v>
      </c>
      <c r="E2716" s="47">
        <v>16023235</v>
      </c>
      <c r="F2716" s="48" t="s">
        <v>2258</v>
      </c>
      <c r="G2716" s="47"/>
      <c r="H2716" s="47"/>
      <c r="I2716" s="40">
        <v>326</v>
      </c>
      <c r="J2716" s="40">
        <v>578</v>
      </c>
      <c r="K2716" s="20"/>
      <c r="L2716" s="21"/>
      <c r="M2716" s="110">
        <f>IF(L2716="",I2716,(MIN(J2716,(L2716*1.6*J2716))))</f>
        <v>326</v>
      </c>
      <c r="N2716" s="111">
        <f>IF(M2716=0,0,(M2716/J2716))</f>
        <v>0.56401384083044981</v>
      </c>
    </row>
    <row r="2717" spans="2:14">
      <c r="B2717" s="73">
        <v>127804</v>
      </c>
      <c r="C2717" s="23" t="str">
        <f>"PINELLAS"</f>
        <v>PINELLAS</v>
      </c>
      <c r="D2717" s="123">
        <f>SUMIF(B$3:B$3844,B2717,M$3:M$3844)/(SUMIF(B$3:B$3844,B2717,J$3:J$3844))</f>
        <v>0.6210093385794162</v>
      </c>
      <c r="E2717" s="23">
        <v>214875</v>
      </c>
      <c r="F2717" s="46" t="str">
        <f>"DROPOUT PREVENTION SCHOOL"</f>
        <v>DROPOUT PREVENTION SCHOOL</v>
      </c>
      <c r="G2717" s="23"/>
      <c r="H2717" s="23"/>
      <c r="I2717" s="41">
        <v>89</v>
      </c>
      <c r="J2717" s="41">
        <v>252</v>
      </c>
      <c r="K2717" s="20"/>
      <c r="L2717" s="21"/>
      <c r="M2717" s="110">
        <f>IF(L2717="",I2717,(MIN(J2717,(L2717*1.6*J2717))))</f>
        <v>89</v>
      </c>
      <c r="N2717" s="111">
        <f>IF(M2717=0,0,(M2717/J2717))</f>
        <v>0.3531746031746032</v>
      </c>
    </row>
    <row r="2718" spans="2:14">
      <c r="B2718" s="72">
        <v>127804</v>
      </c>
      <c r="C2718" s="47" t="str">
        <f>"PINELLAS"</f>
        <v>PINELLAS</v>
      </c>
      <c r="D2718" s="123">
        <f>SUMIF(B$3:B$3844,B2718,M$3:M$3844)/(SUMIF(B$3:B$3844,B2718,J$3:J$3844))</f>
        <v>0.6210093385794162</v>
      </c>
      <c r="E2718" s="47">
        <v>38717</v>
      </c>
      <c r="F2718" s="48" t="str">
        <f>"DUNEDIN ELEMENTARY SCHOOL"</f>
        <v>DUNEDIN ELEMENTARY SCHOOL</v>
      </c>
      <c r="G2718" s="47"/>
      <c r="H2718" s="47"/>
      <c r="I2718" s="40">
        <v>515</v>
      </c>
      <c r="J2718" s="40">
        <v>602</v>
      </c>
      <c r="K2718" s="20"/>
      <c r="L2718" s="21"/>
      <c r="M2718" s="110">
        <f>IF(L2718="",I2718,(MIN(J2718,(L2718*1.6*J2718))))</f>
        <v>515</v>
      </c>
      <c r="N2718" s="111">
        <f>IF(M2718=0,0,(M2718/J2718))</f>
        <v>0.85548172757475083</v>
      </c>
    </row>
    <row r="2719" spans="2:14">
      <c r="B2719" s="73">
        <v>127804</v>
      </c>
      <c r="C2719" s="23" t="str">
        <f>"PINELLAS"</f>
        <v>PINELLAS</v>
      </c>
      <c r="D2719" s="123">
        <f>SUMIF(B$3:B$3844,B2719,M$3:M$3844)/(SUMIF(B$3:B$3844,B2719,J$3:J$3844))</f>
        <v>0.6210093385794162</v>
      </c>
      <c r="E2719" s="23">
        <v>38715</v>
      </c>
      <c r="F2719" s="46" t="str">
        <f>"DUNEDIN HIGH SCHOOL"</f>
        <v>DUNEDIN HIGH SCHOOL</v>
      </c>
      <c r="G2719" s="23"/>
      <c r="H2719" s="23"/>
      <c r="I2719" s="41">
        <v>676</v>
      </c>
      <c r="J2719" s="41">
        <v>1406</v>
      </c>
      <c r="K2719" s="20"/>
      <c r="L2719" s="21"/>
      <c r="M2719" s="110">
        <f>IF(L2719="",I2719,(MIN(J2719,(L2719*1.6*J2719))))</f>
        <v>676</v>
      </c>
      <c r="N2719" s="111">
        <f>IF(M2719=0,0,(M2719/J2719))</f>
        <v>0.48079658605974396</v>
      </c>
    </row>
    <row r="2720" spans="2:14">
      <c r="B2720" s="72">
        <v>127804</v>
      </c>
      <c r="C2720" s="47" t="str">
        <f>"PINELLAS"</f>
        <v>PINELLAS</v>
      </c>
      <c r="D2720" s="123">
        <f>SUMIF(B$3:B$3844,B2720,M$3:M$3844)/(SUMIF(B$3:B$3844,B2720,J$3:J$3844))</f>
        <v>0.6210093385794162</v>
      </c>
      <c r="E2720" s="47">
        <v>38718</v>
      </c>
      <c r="F2720" s="48" t="str">
        <f>"DUNEDIN HIGHLAND MIDDLE SCHOOL"</f>
        <v>DUNEDIN HIGHLAND MIDDLE SCHOOL</v>
      </c>
      <c r="G2720" s="47"/>
      <c r="H2720" s="47"/>
      <c r="I2720" s="40">
        <v>690</v>
      </c>
      <c r="J2720" s="40">
        <v>1076</v>
      </c>
      <c r="K2720" s="20"/>
      <c r="L2720" s="21"/>
      <c r="M2720" s="110">
        <f>IF(L2720="",I2720,(MIN(J2720,(L2720*1.6*J2720))))</f>
        <v>690</v>
      </c>
      <c r="N2720" s="111">
        <f>IF(M2720=0,0,(M2720/J2720))</f>
        <v>0.64126394052044611</v>
      </c>
    </row>
    <row r="2721" spans="2:14">
      <c r="B2721" s="73">
        <v>127804</v>
      </c>
      <c r="C2721" s="23" t="str">
        <f>"PINELLAS"</f>
        <v>PINELLAS</v>
      </c>
      <c r="D2721" s="123">
        <f>SUMIF(B$3:B$3844,B2721,M$3:M$3844)/(SUMIF(B$3:B$3844,B2721,J$3:J$3844))</f>
        <v>0.6210093385794162</v>
      </c>
      <c r="E2721" s="23">
        <v>38704</v>
      </c>
      <c r="F2721" s="46" t="str">
        <f>"EAST LAKE HIGH SCHOOL"</f>
        <v>EAST LAKE HIGH SCHOOL</v>
      </c>
      <c r="G2721" s="23"/>
      <c r="H2721" s="23"/>
      <c r="I2721" s="41">
        <v>458</v>
      </c>
      <c r="J2721" s="41">
        <v>2192</v>
      </c>
      <c r="K2721" s="20"/>
      <c r="L2721" s="21"/>
      <c r="M2721" s="110">
        <f>IF(L2721="",I2721,(MIN(J2721,(L2721*1.6*J2721))))</f>
        <v>458</v>
      </c>
      <c r="N2721" s="111">
        <f>IF(M2721=0,0,(M2721/J2721))</f>
        <v>0.20894160583941607</v>
      </c>
    </row>
    <row r="2722" spans="2:14" ht="30">
      <c r="B2722" s="72">
        <v>127804</v>
      </c>
      <c r="C2722" s="47" t="str">
        <f>"PINELLAS"</f>
        <v>PINELLAS</v>
      </c>
      <c r="D2722" s="123">
        <f>SUMIF(B$3:B$3844,B2722,M$3:M$3844)/(SUMIF(B$3:B$3844,B2722,J$3:J$3844))</f>
        <v>0.6210093385794162</v>
      </c>
      <c r="E2722" s="47">
        <v>16083818</v>
      </c>
      <c r="F2722" s="48" t="s">
        <v>2259</v>
      </c>
      <c r="G2722" s="47"/>
      <c r="H2722" s="47"/>
      <c r="I2722" s="40">
        <v>57</v>
      </c>
      <c r="J2722" s="40">
        <v>396</v>
      </c>
      <c r="K2722" s="20"/>
      <c r="L2722" s="21"/>
      <c r="M2722" s="110">
        <f>IF(L2722="",I2722,(MIN(J2722,(L2722*1.6*J2722))))</f>
        <v>57</v>
      </c>
      <c r="N2722" s="111">
        <f>IF(M2722=0,0,(M2722/J2722))</f>
        <v>0.14393939393939395</v>
      </c>
    </row>
    <row r="2723" spans="2:14">
      <c r="B2723" s="73">
        <v>127804</v>
      </c>
      <c r="C2723" s="23" t="str">
        <f>"PINELLAS"</f>
        <v>PINELLAS</v>
      </c>
      <c r="D2723" s="123">
        <f>SUMIF(B$3:B$3844,B2723,M$3:M$3844)/(SUMIF(B$3:B$3844,B2723,J$3:J$3844))</f>
        <v>0.6210093385794162</v>
      </c>
      <c r="E2723" s="23">
        <v>37959</v>
      </c>
      <c r="F2723" s="46" t="str">
        <f>"EISENHOWER ELEMENTARY SCHOOL"</f>
        <v>EISENHOWER ELEMENTARY SCHOOL</v>
      </c>
      <c r="G2723" s="23"/>
      <c r="H2723" s="23"/>
      <c r="I2723" s="41"/>
      <c r="J2723" s="41">
        <v>750</v>
      </c>
      <c r="K2723" s="20">
        <v>2014</v>
      </c>
      <c r="L2723" s="21">
        <v>0.61990000000000001</v>
      </c>
      <c r="M2723" s="110">
        <f>IF(L2723="",I2723,(MIN(J2723,(L2723*1.6*J2723))))</f>
        <v>743.88</v>
      </c>
      <c r="N2723" s="111">
        <f>IF(M2723=0,0,(M2723/J2723))</f>
        <v>0.99183999999999994</v>
      </c>
    </row>
    <row r="2724" spans="2:14">
      <c r="B2724" s="72">
        <v>127804</v>
      </c>
      <c r="C2724" s="47" t="str">
        <f>"PINELLAS"</f>
        <v>PINELLAS</v>
      </c>
      <c r="D2724" s="123">
        <f>SUMIF(B$3:B$3844,B2724,M$3:M$3844)/(SUMIF(B$3:B$3844,B2724,J$3:J$3844))</f>
        <v>0.6210093385794162</v>
      </c>
      <c r="E2724" s="47">
        <v>16084299</v>
      </c>
      <c r="F2724" s="48" t="str">
        <f>"ESE COUNTYWIDE"</f>
        <v>ESE COUNTYWIDE</v>
      </c>
      <c r="G2724" s="47"/>
      <c r="H2724" s="47"/>
      <c r="I2724" s="40">
        <v>5</v>
      </c>
      <c r="J2724" s="40">
        <v>56</v>
      </c>
      <c r="K2724" s="20"/>
      <c r="L2724" s="21"/>
      <c r="M2724" s="110">
        <f>IF(L2724="",I2724,(MIN(J2724,(L2724*1.6*J2724))))</f>
        <v>5</v>
      </c>
      <c r="N2724" s="111">
        <f>IF(M2724=0,0,(M2724/J2724))</f>
        <v>8.9285714285714288E-2</v>
      </c>
    </row>
    <row r="2725" spans="2:14">
      <c r="B2725" s="73">
        <v>127804</v>
      </c>
      <c r="C2725" s="23" t="str">
        <f>"PINELLAS"</f>
        <v>PINELLAS</v>
      </c>
      <c r="D2725" s="123">
        <f>SUMIF(B$3:B$3844,B2725,M$3:M$3844)/(SUMIF(B$3:B$3844,B2725,J$3:J$3844))</f>
        <v>0.6210093385794162</v>
      </c>
      <c r="E2725" s="23">
        <v>224473</v>
      </c>
      <c r="F2725" s="46" t="str">
        <f>"EWES-ECKERD YOUTH CHALLENGE"</f>
        <v>EWES-ECKERD YOUTH CHALLENGE</v>
      </c>
      <c r="G2725" s="23"/>
      <c r="H2725" s="23"/>
      <c r="I2725" s="41"/>
      <c r="J2725" s="41">
        <v>61</v>
      </c>
      <c r="K2725" s="20"/>
      <c r="L2725" s="21"/>
      <c r="M2725" s="110">
        <f>IF(L2725="",I2725,(MIN(J2725,(L2725*1.6*J2725))))</f>
        <v>0</v>
      </c>
      <c r="N2725" s="111">
        <f>IF(M2725=0,0,(M2725/J2725))</f>
        <v>0</v>
      </c>
    </row>
    <row r="2726" spans="2:14">
      <c r="B2726" s="72">
        <v>127804</v>
      </c>
      <c r="C2726" s="47" t="str">
        <f>"PINELLAS"</f>
        <v>PINELLAS</v>
      </c>
      <c r="D2726" s="123">
        <f>SUMIF(B$3:B$3844,B2726,M$3:M$3844)/(SUMIF(B$3:B$3844,B2726,J$3:J$3844))</f>
        <v>0.6210093385794162</v>
      </c>
      <c r="E2726" s="47">
        <v>16084301</v>
      </c>
      <c r="F2726" s="48" t="str">
        <f>"EXTENDED TRANSITION COUNTYWIDE"</f>
        <v>EXTENDED TRANSITION COUNTYWIDE</v>
      </c>
      <c r="G2726" s="47"/>
      <c r="H2726" s="47"/>
      <c r="I2726" s="40">
        <v>57</v>
      </c>
      <c r="J2726" s="40">
        <v>197</v>
      </c>
      <c r="K2726" s="20"/>
      <c r="L2726" s="21"/>
      <c r="M2726" s="110">
        <f>IF(L2726="",I2726,(MIN(J2726,(L2726*1.6*J2726))))</f>
        <v>57</v>
      </c>
      <c r="N2726" s="111">
        <f>IF(M2726=0,0,(M2726/J2726))</f>
        <v>0.28934010152284262</v>
      </c>
    </row>
    <row r="2727" spans="2:14">
      <c r="B2727" s="73">
        <v>127804</v>
      </c>
      <c r="C2727" s="23" t="str">
        <f>"PINELLAS"</f>
        <v>PINELLAS</v>
      </c>
      <c r="D2727" s="123">
        <f>SUMIF(B$3:B$3844,B2727,M$3:M$3844)/(SUMIF(B$3:B$3844,B2727,J$3:J$3844))</f>
        <v>0.6210093385794162</v>
      </c>
      <c r="E2727" s="23">
        <v>224482</v>
      </c>
      <c r="F2727" s="46" t="str">
        <f>"EYES-E-NINI-HASSEE CAMP"</f>
        <v>EYES-E-NINI-HASSEE CAMP</v>
      </c>
      <c r="G2727" s="23"/>
      <c r="H2727" s="23"/>
      <c r="I2727" s="41">
        <v>1</v>
      </c>
      <c r="J2727" s="41">
        <v>33</v>
      </c>
      <c r="K2727" s="20"/>
      <c r="L2727" s="21"/>
      <c r="M2727" s="110">
        <f>IF(L2727="",I2727,(MIN(J2727,(L2727*1.6*J2727))))</f>
        <v>1</v>
      </c>
      <c r="N2727" s="111">
        <f>IF(M2727=0,0,(M2727/J2727))</f>
        <v>3.0303030303030304E-2</v>
      </c>
    </row>
    <row r="2728" spans="2:14">
      <c r="B2728" s="72">
        <v>127804</v>
      </c>
      <c r="C2728" s="47" t="str">
        <f>"PINELLAS"</f>
        <v>PINELLAS</v>
      </c>
      <c r="D2728" s="123">
        <f>SUMIF(B$3:B$3844,B2728,M$3:M$3844)/(SUMIF(B$3:B$3844,B2728,J$3:J$3844))</f>
        <v>0.6210093385794162</v>
      </c>
      <c r="E2728" s="47">
        <v>37910</v>
      </c>
      <c r="F2728" s="48" t="s">
        <v>2260</v>
      </c>
      <c r="G2728" s="47"/>
      <c r="H2728" s="47"/>
      <c r="I2728" s="40"/>
      <c r="J2728" s="40">
        <v>610</v>
      </c>
      <c r="K2728" s="20">
        <v>2014</v>
      </c>
      <c r="L2728" s="21">
        <v>0.85599999999999998</v>
      </c>
      <c r="M2728" s="110">
        <f>IF(L2728="",I2728,(MIN(J2728,(L2728*1.6*J2728))))</f>
        <v>610</v>
      </c>
      <c r="N2728" s="111">
        <f>IF(M2728=0,0,(M2728/J2728))</f>
        <v>1</v>
      </c>
    </row>
    <row r="2729" spans="2:14">
      <c r="B2729" s="73">
        <v>127804</v>
      </c>
      <c r="C2729" s="23" t="str">
        <f>"PINELLAS"</f>
        <v>PINELLAS</v>
      </c>
      <c r="D2729" s="123">
        <f>SUMIF(B$3:B$3844,B2729,M$3:M$3844)/(SUMIF(B$3:B$3844,B2729,J$3:J$3844))</f>
        <v>0.6210093385794162</v>
      </c>
      <c r="E2729" s="23">
        <v>37998</v>
      </c>
      <c r="F2729" s="46" t="str">
        <f>"FITZGERALD MIDDLE SCHOOL"</f>
        <v>FITZGERALD MIDDLE SCHOOL</v>
      </c>
      <c r="G2729" s="23"/>
      <c r="H2729" s="23"/>
      <c r="I2729" s="41">
        <v>733</v>
      </c>
      <c r="J2729" s="41">
        <v>1104</v>
      </c>
      <c r="K2729" s="20"/>
      <c r="L2729" s="21"/>
      <c r="M2729" s="110">
        <f>IF(L2729="",I2729,(MIN(J2729,(L2729*1.6*J2729))))</f>
        <v>733</v>
      </c>
      <c r="N2729" s="111">
        <f>IF(M2729=0,0,(M2729/J2729))</f>
        <v>0.66394927536231885</v>
      </c>
    </row>
    <row r="2730" spans="2:14">
      <c r="B2730" s="72">
        <v>127804</v>
      </c>
      <c r="C2730" s="47" t="str">
        <f>"PINELLAS"</f>
        <v>PINELLAS</v>
      </c>
      <c r="D2730" s="123">
        <f>SUMIF(B$3:B$3844,B2730,M$3:M$3844)/(SUMIF(B$3:B$3844,B2730,J$3:J$3844))</f>
        <v>0.6210093385794162</v>
      </c>
      <c r="E2730" s="47">
        <v>38678</v>
      </c>
      <c r="F2730" s="48" t="str">
        <f>"FOREST LAKES ELEMENTARY SCHOOL"</f>
        <v>FOREST LAKES ELEMENTARY SCHOOL</v>
      </c>
      <c r="G2730" s="47"/>
      <c r="H2730" s="47"/>
      <c r="I2730" s="40">
        <v>213</v>
      </c>
      <c r="J2730" s="40">
        <v>537</v>
      </c>
      <c r="K2730" s="20"/>
      <c r="L2730" s="21"/>
      <c r="M2730" s="110">
        <f>IF(L2730="",I2730,(MIN(J2730,(L2730*1.6*J2730))))</f>
        <v>213</v>
      </c>
      <c r="N2730" s="111">
        <f>IF(M2730=0,0,(M2730/J2730))</f>
        <v>0.39664804469273746</v>
      </c>
    </row>
    <row r="2731" spans="2:14">
      <c r="B2731" s="73">
        <v>127804</v>
      </c>
      <c r="C2731" s="23" t="str">
        <f>"PINELLAS"</f>
        <v>PINELLAS</v>
      </c>
      <c r="D2731" s="123">
        <f>SUMIF(B$3:B$3844,B2731,M$3:M$3844)/(SUMIF(B$3:B$3844,B2731,J$3:J$3844))</f>
        <v>0.6210093385794162</v>
      </c>
      <c r="E2731" s="23">
        <v>37975</v>
      </c>
      <c r="F2731" s="46" t="str">
        <f>"FRONTIER ELEMENTARY SCHOOL"</f>
        <v>FRONTIER ELEMENTARY SCHOOL</v>
      </c>
      <c r="G2731" s="23"/>
      <c r="H2731" s="23"/>
      <c r="I2731" s="41"/>
      <c r="J2731" s="41">
        <v>645</v>
      </c>
      <c r="K2731" s="20">
        <v>2014</v>
      </c>
      <c r="L2731" s="21">
        <v>0.63570000000000004</v>
      </c>
      <c r="M2731" s="110">
        <f>IF(L2731="",I2731,(MIN(J2731,(L2731*1.6*J2731))))</f>
        <v>645</v>
      </c>
      <c r="N2731" s="111">
        <f>IF(M2731=0,0,(M2731/J2731))</f>
        <v>1</v>
      </c>
    </row>
    <row r="2732" spans="2:14">
      <c r="B2732" s="72">
        <v>127804</v>
      </c>
      <c r="C2732" s="47" t="str">
        <f>"PINELLAS"</f>
        <v>PINELLAS</v>
      </c>
      <c r="D2732" s="123">
        <f>SUMIF(B$3:B$3844,B2732,M$3:M$3844)/(SUMIF(B$3:B$3844,B2732,J$3:J$3844))</f>
        <v>0.6210093385794162</v>
      </c>
      <c r="E2732" s="47">
        <v>38001</v>
      </c>
      <c r="F2732" s="48" t="str">
        <f>"FUGUITT ELEMENTARY SCHOOL"</f>
        <v>FUGUITT ELEMENTARY SCHOOL</v>
      </c>
      <c r="G2732" s="47"/>
      <c r="H2732" s="47"/>
      <c r="I2732" s="40"/>
      <c r="J2732" s="40">
        <v>556</v>
      </c>
      <c r="K2732" s="20">
        <v>2014</v>
      </c>
      <c r="L2732" s="21">
        <v>0.60289999999999999</v>
      </c>
      <c r="M2732" s="110">
        <f>IF(L2732="",I2732,(MIN(J2732,(L2732*1.6*J2732))))</f>
        <v>536.33983999999998</v>
      </c>
      <c r="N2732" s="111">
        <f>IF(M2732=0,0,(M2732/J2732))</f>
        <v>0.96463999999999994</v>
      </c>
    </row>
    <row r="2733" spans="2:14">
      <c r="B2733" s="73">
        <v>127804</v>
      </c>
      <c r="C2733" s="23" t="str">
        <f>"PINELLAS"</f>
        <v>PINELLAS</v>
      </c>
      <c r="D2733" s="123">
        <f>SUMIF(B$3:B$3844,B2733,M$3:M$3844)/(SUMIF(B$3:B$3844,B2733,J$3:J$3844))</f>
        <v>0.6210093385794162</v>
      </c>
      <c r="E2733" s="23">
        <v>38686</v>
      </c>
      <c r="F2733" s="46" t="s">
        <v>2261</v>
      </c>
      <c r="G2733" s="23"/>
      <c r="H2733" s="23"/>
      <c r="I2733" s="41">
        <v>365</v>
      </c>
      <c r="J2733" s="41">
        <v>663</v>
      </c>
      <c r="K2733" s="20"/>
      <c r="L2733" s="21"/>
      <c r="M2733" s="110">
        <f>IF(L2733="",I2733,(MIN(J2733,(L2733*1.6*J2733))))</f>
        <v>365</v>
      </c>
      <c r="N2733" s="111">
        <f>IF(M2733=0,0,(M2733/J2733))</f>
        <v>0.55052790346907998</v>
      </c>
    </row>
    <row r="2734" spans="2:14">
      <c r="B2734" s="72">
        <v>127804</v>
      </c>
      <c r="C2734" s="47" t="str">
        <f>"PINELLAS"</f>
        <v>PINELLAS</v>
      </c>
      <c r="D2734" s="123">
        <f>SUMIF(B$3:B$3844,B2734,M$3:M$3844)/(SUMIF(B$3:B$3844,B2734,J$3:J$3844))</f>
        <v>0.6210093385794162</v>
      </c>
      <c r="E2734" s="47">
        <v>37911</v>
      </c>
      <c r="F2734" s="48" t="s">
        <v>2262</v>
      </c>
      <c r="G2734" s="47"/>
      <c r="H2734" s="47"/>
      <c r="I2734" s="40"/>
      <c r="J2734" s="40">
        <v>1349</v>
      </c>
      <c r="K2734" s="20">
        <v>2014</v>
      </c>
      <c r="L2734" s="21">
        <v>0.56659999999999999</v>
      </c>
      <c r="M2734" s="110">
        <f>IF(L2734="",I2734,(MIN(J2734,(L2734*1.6*J2734))))</f>
        <v>1222.9494400000001</v>
      </c>
      <c r="N2734" s="111">
        <f>IF(M2734=0,0,(M2734/J2734))</f>
        <v>0.90656000000000003</v>
      </c>
    </row>
    <row r="2735" spans="2:14">
      <c r="B2735" s="73">
        <v>127804</v>
      </c>
      <c r="C2735" s="23" t="str">
        <f>"PINELLAS"</f>
        <v>PINELLAS</v>
      </c>
      <c r="D2735" s="123">
        <f>SUMIF(B$3:B$3844,B2735,M$3:M$3844)/(SUMIF(B$3:B$3844,B2735,J$3:J$3844))</f>
        <v>0.6210093385794162</v>
      </c>
      <c r="E2735" s="23">
        <v>16079173</v>
      </c>
      <c r="F2735" s="46" t="s">
        <v>2263</v>
      </c>
      <c r="G2735" s="23"/>
      <c r="H2735" s="23"/>
      <c r="I2735" s="41">
        <v>120</v>
      </c>
      <c r="J2735" s="41">
        <v>327</v>
      </c>
      <c r="K2735" s="20"/>
      <c r="L2735" s="21"/>
      <c r="M2735" s="110">
        <f>IF(L2735="",I2735,(MIN(J2735,(L2735*1.6*J2735))))</f>
        <v>120</v>
      </c>
      <c r="N2735" s="111">
        <f>IF(M2735=0,0,(M2735/J2735))</f>
        <v>0.3669724770642202</v>
      </c>
    </row>
    <row r="2736" spans="2:14">
      <c r="B2736" s="72">
        <v>127804</v>
      </c>
      <c r="C2736" s="47" t="str">
        <f>"PINELLAS"</f>
        <v>PINELLAS</v>
      </c>
      <c r="D2736" s="123">
        <f>SUMIF(B$3:B$3844,B2736,M$3:M$3844)/(SUMIF(B$3:B$3844,B2736,J$3:J$3844))</f>
        <v>0.6210093385794162</v>
      </c>
      <c r="E2736" s="47">
        <v>37887</v>
      </c>
      <c r="F2736" s="48" t="s">
        <v>2264</v>
      </c>
      <c r="G2736" s="47"/>
      <c r="H2736" s="47"/>
      <c r="I2736" s="40"/>
      <c r="J2736" s="40">
        <v>662</v>
      </c>
      <c r="K2736" s="20">
        <v>2014</v>
      </c>
      <c r="L2736" s="21">
        <v>0.78949999999999998</v>
      </c>
      <c r="M2736" s="110">
        <f>IF(L2736="",I2736,(MIN(J2736,(L2736*1.6*J2736))))</f>
        <v>662</v>
      </c>
      <c r="N2736" s="111">
        <f>IF(M2736=0,0,(M2736/J2736))</f>
        <v>1</v>
      </c>
    </row>
    <row r="2737" spans="2:14">
      <c r="B2737" s="73">
        <v>127804</v>
      </c>
      <c r="C2737" s="23" t="str">
        <f>"PINELLAS"</f>
        <v>PINELLAS</v>
      </c>
      <c r="D2737" s="123">
        <f>SUMIF(B$3:B$3844,B2737,M$3:M$3844)/(SUMIF(B$3:B$3844,B2737,J$3:J$3844))</f>
        <v>0.6210093385794162</v>
      </c>
      <c r="E2737" s="23">
        <v>37885</v>
      </c>
      <c r="F2737" s="46" t="s">
        <v>2265</v>
      </c>
      <c r="G2737" s="23"/>
      <c r="H2737" s="23"/>
      <c r="I2737" s="41"/>
      <c r="J2737" s="41">
        <v>98</v>
      </c>
      <c r="K2737" s="20">
        <v>2015</v>
      </c>
      <c r="L2737" s="21">
        <v>0.69920000000000004</v>
      </c>
      <c r="M2737" s="110">
        <f>IF(L2737="",I2737,(MIN(J2737,(L2737*1.6*J2737))))</f>
        <v>98</v>
      </c>
      <c r="N2737" s="111">
        <f>IF(M2737=0,0,(M2737/J2737))</f>
        <v>1</v>
      </c>
    </row>
    <row r="2738" spans="2:14">
      <c r="B2738" s="72">
        <v>127804</v>
      </c>
      <c r="C2738" s="47" t="str">
        <f>"PINELLAS"</f>
        <v>PINELLAS</v>
      </c>
      <c r="D2738" s="123">
        <f>SUMIF(B$3:B$3844,B2738,M$3:M$3844)/(SUMIF(B$3:B$3844,B2738,J$3:J$3844))</f>
        <v>0.6210093385794162</v>
      </c>
      <c r="E2738" s="47">
        <v>37961</v>
      </c>
      <c r="F2738" s="48" t="str">
        <f>"HIGH POINT ELEMENTARY SCHOOL"</f>
        <v>HIGH POINT ELEMENTARY SCHOOL</v>
      </c>
      <c r="G2738" s="47"/>
      <c r="H2738" s="47"/>
      <c r="I2738" s="40"/>
      <c r="J2738" s="40">
        <v>697</v>
      </c>
      <c r="K2738" s="20">
        <v>2014</v>
      </c>
      <c r="L2738" s="21">
        <v>0.71019999999999994</v>
      </c>
      <c r="M2738" s="110">
        <f>IF(L2738="",I2738,(MIN(J2738,(L2738*1.6*J2738))))</f>
        <v>697</v>
      </c>
      <c r="N2738" s="111">
        <f>IF(M2738=0,0,(M2738/J2738))</f>
        <v>1</v>
      </c>
    </row>
    <row r="2739" spans="2:14">
      <c r="B2739" s="73">
        <v>127804</v>
      </c>
      <c r="C2739" s="23" t="str">
        <f>"PINELLAS"</f>
        <v>PINELLAS</v>
      </c>
      <c r="D2739" s="123">
        <f>SUMIF(B$3:B$3844,B2739,M$3:M$3844)/(SUMIF(B$3:B$3844,B2739,J$3:J$3844))</f>
        <v>0.6210093385794162</v>
      </c>
      <c r="E2739" s="23">
        <v>38689</v>
      </c>
      <c r="F2739" s="46" t="s">
        <v>2266</v>
      </c>
      <c r="G2739" s="23"/>
      <c r="H2739" s="23"/>
      <c r="I2739" s="41">
        <v>258</v>
      </c>
      <c r="J2739" s="41">
        <v>621</v>
      </c>
      <c r="K2739" s="20"/>
      <c r="L2739" s="21"/>
      <c r="M2739" s="110">
        <f>IF(L2739="",I2739,(MIN(J2739,(L2739*1.6*J2739))))</f>
        <v>258</v>
      </c>
      <c r="N2739" s="111">
        <f>IF(M2739=0,0,(M2739/J2739))</f>
        <v>0.41545893719806765</v>
      </c>
    </row>
    <row r="2740" spans="2:14">
      <c r="B2740" s="72">
        <v>127804</v>
      </c>
      <c r="C2740" s="47" t="str">
        <f>"PINELLAS"</f>
        <v>PINELLAS</v>
      </c>
      <c r="D2740" s="123">
        <f>SUMIF(B$3:B$3844,B2740,M$3:M$3844)/(SUMIF(B$3:B$3844,B2740,J$3:J$3844))</f>
        <v>0.6210093385794162</v>
      </c>
      <c r="E2740" s="47">
        <v>16084302</v>
      </c>
      <c r="F2740" s="48" t="str">
        <f>"HOSPITAL/HOMEBOUND"</f>
        <v>HOSPITAL/HOMEBOUND</v>
      </c>
      <c r="G2740" s="47"/>
      <c r="H2740" s="47"/>
      <c r="I2740" s="40">
        <v>41</v>
      </c>
      <c r="J2740" s="40">
        <v>176</v>
      </c>
      <c r="K2740" s="20"/>
      <c r="L2740" s="21"/>
      <c r="M2740" s="110">
        <f>IF(L2740="",I2740,(MIN(J2740,(L2740*1.6*J2740))))</f>
        <v>41</v>
      </c>
      <c r="N2740" s="111">
        <f>IF(M2740=0,0,(M2740/J2740))</f>
        <v>0.23295454545454544</v>
      </c>
    </row>
    <row r="2741" spans="2:14">
      <c r="B2741" s="73">
        <v>127804</v>
      </c>
      <c r="C2741" s="23" t="str">
        <f>"PINELLAS"</f>
        <v>PINELLAS</v>
      </c>
      <c r="D2741" s="123">
        <f>SUMIF(B$3:B$3844,B2741,M$3:M$3844)/(SUMIF(B$3:B$3844,B2741,J$3:J$3844))</f>
        <v>0.6210093385794162</v>
      </c>
      <c r="E2741" s="23">
        <v>16023237</v>
      </c>
      <c r="F2741" s="46" t="str">
        <f>"JAMES B. SANDERLIN PK-8"</f>
        <v>JAMES B. SANDERLIN PK-8</v>
      </c>
      <c r="G2741" s="23"/>
      <c r="H2741" s="23"/>
      <c r="I2741" s="41">
        <v>227</v>
      </c>
      <c r="J2741" s="41">
        <v>586</v>
      </c>
      <c r="K2741" s="20"/>
      <c r="L2741" s="21"/>
      <c r="M2741" s="110">
        <f>IF(L2741="",I2741,(MIN(J2741,(L2741*1.6*J2741))))</f>
        <v>227</v>
      </c>
      <c r="N2741" s="111">
        <f>IF(M2741=0,0,(M2741/J2741))</f>
        <v>0.38737201365187712</v>
      </c>
    </row>
    <row r="2742" spans="2:14">
      <c r="B2742" s="72">
        <v>127804</v>
      </c>
      <c r="C2742" s="47" t="str">
        <f>"PINELLAS"</f>
        <v>PINELLAS</v>
      </c>
      <c r="D2742" s="123">
        <f>SUMIF(B$3:B$3844,B2742,M$3:M$3844)/(SUMIF(B$3:B$3844,B2742,J$3:J$3844))</f>
        <v>0.6210093385794162</v>
      </c>
      <c r="E2742" s="47">
        <v>37913</v>
      </c>
      <c r="F2742" s="48" t="str">
        <f>"JOHN HOPKINS MIDDLE SCHOOL"</f>
        <v>JOHN HOPKINS MIDDLE SCHOOL</v>
      </c>
      <c r="G2742" s="47"/>
      <c r="H2742" s="47"/>
      <c r="I2742" s="40"/>
      <c r="J2742" s="40">
        <v>720</v>
      </c>
      <c r="K2742" s="20">
        <v>2014</v>
      </c>
      <c r="L2742" s="21">
        <v>0.68319999999999992</v>
      </c>
      <c r="M2742" s="110">
        <f>IF(L2742="",I2742,(MIN(J2742,(L2742*1.6*J2742))))</f>
        <v>720</v>
      </c>
      <c r="N2742" s="111">
        <f>IF(M2742=0,0,(M2742/J2742))</f>
        <v>1</v>
      </c>
    </row>
    <row r="2743" spans="2:14">
      <c r="B2743" s="73">
        <v>127804</v>
      </c>
      <c r="C2743" s="23" t="str">
        <f>"PINELLAS"</f>
        <v>PINELLAS</v>
      </c>
      <c r="D2743" s="123">
        <f>SUMIF(B$3:B$3844,B2743,M$3:M$3844)/(SUMIF(B$3:B$3844,B2743,J$3:J$3844))</f>
        <v>0.6210093385794162</v>
      </c>
      <c r="E2743" s="23">
        <v>37930</v>
      </c>
      <c r="F2743" s="46" t="s">
        <v>2267</v>
      </c>
      <c r="G2743" s="23"/>
      <c r="H2743" s="23"/>
      <c r="I2743" s="41">
        <v>478</v>
      </c>
      <c r="J2743" s="41">
        <v>618</v>
      </c>
      <c r="K2743" s="20"/>
      <c r="L2743" s="21"/>
      <c r="M2743" s="110">
        <f>IF(L2743="",I2743,(MIN(J2743,(L2743*1.6*J2743))))</f>
        <v>478</v>
      </c>
      <c r="N2743" s="111">
        <f>IF(M2743=0,0,(M2743/J2743))</f>
        <v>0.77346278317152106</v>
      </c>
    </row>
    <row r="2744" spans="2:14">
      <c r="B2744" s="72">
        <v>127804</v>
      </c>
      <c r="C2744" s="47" t="str">
        <f>"PINELLAS"</f>
        <v>PINELLAS</v>
      </c>
      <c r="D2744" s="123">
        <f>SUMIF(B$3:B$3844,B2744,M$3:M$3844)/(SUMIF(B$3:B$3844,B2744,J$3:J$3844))</f>
        <v>0.6210093385794162</v>
      </c>
      <c r="E2744" s="47">
        <v>38688</v>
      </c>
      <c r="F2744" s="48" t="s">
        <v>2268</v>
      </c>
      <c r="G2744" s="47"/>
      <c r="H2744" s="47"/>
      <c r="I2744" s="40">
        <v>458</v>
      </c>
      <c r="J2744" s="40">
        <v>1091</v>
      </c>
      <c r="K2744" s="20"/>
      <c r="L2744" s="21"/>
      <c r="M2744" s="110">
        <f>IF(L2744="",I2744,(MIN(J2744,(L2744*1.6*J2744))))</f>
        <v>458</v>
      </c>
      <c r="N2744" s="111">
        <f>IF(M2744=0,0,(M2744/J2744))</f>
        <v>0.41979835013748856</v>
      </c>
    </row>
    <row r="2745" spans="2:14">
      <c r="B2745" s="73">
        <v>127804</v>
      </c>
      <c r="C2745" s="23" t="str">
        <f>"PINELLAS"</f>
        <v>PINELLAS</v>
      </c>
      <c r="D2745" s="123">
        <f>SUMIF(B$3:B$3844,B2745,M$3:M$3844)/(SUMIF(B$3:B$3844,B2745,J$3:J$3844))</f>
        <v>0.6210093385794162</v>
      </c>
      <c r="E2745" s="23">
        <v>16079174</v>
      </c>
      <c r="F2745" s="46" t="s">
        <v>2269</v>
      </c>
      <c r="G2745" s="23"/>
      <c r="H2745" s="23"/>
      <c r="I2745" s="41"/>
      <c r="J2745" s="41">
        <v>319</v>
      </c>
      <c r="K2745" s="20">
        <v>2015</v>
      </c>
      <c r="L2745" s="21">
        <v>0.65310000000000001</v>
      </c>
      <c r="M2745" s="110">
        <f>IF(L2745="",I2745,(MIN(J2745,(L2745*1.6*J2745))))</f>
        <v>319</v>
      </c>
      <c r="N2745" s="111">
        <f>IF(M2745=0,0,(M2745/J2745))</f>
        <v>1</v>
      </c>
    </row>
    <row r="2746" spans="2:14">
      <c r="B2746" s="72">
        <v>127804</v>
      </c>
      <c r="C2746" s="47" t="str">
        <f>"PINELLAS"</f>
        <v>PINELLAS</v>
      </c>
      <c r="D2746" s="123">
        <f>SUMIF(B$3:B$3844,B2746,M$3:M$3844)/(SUMIF(B$3:B$3844,B2746,J$3:J$3844))</f>
        <v>0.6210093385794162</v>
      </c>
      <c r="E2746" s="47">
        <v>38690</v>
      </c>
      <c r="F2746" s="48" t="s">
        <v>2270</v>
      </c>
      <c r="G2746" s="47"/>
      <c r="H2746" s="47"/>
      <c r="I2746" s="40">
        <v>292</v>
      </c>
      <c r="J2746" s="40">
        <v>616</v>
      </c>
      <c r="K2746" s="20"/>
      <c r="L2746" s="21"/>
      <c r="M2746" s="110">
        <f>IF(L2746="",I2746,(MIN(J2746,(L2746*1.6*J2746))))</f>
        <v>292</v>
      </c>
      <c r="N2746" s="111">
        <f>IF(M2746=0,0,(M2746/J2746))</f>
        <v>0.47402597402597402</v>
      </c>
    </row>
    <row r="2747" spans="2:14">
      <c r="B2747" s="73">
        <v>127804</v>
      </c>
      <c r="C2747" s="23" t="str">
        <f>"PINELLAS"</f>
        <v>PINELLAS</v>
      </c>
      <c r="D2747" s="123">
        <f>SUMIF(B$3:B$3844,B2747,M$3:M$3844)/(SUMIF(B$3:B$3844,B2747,J$3:J$3844))</f>
        <v>0.6210093385794162</v>
      </c>
      <c r="E2747" s="23">
        <v>37918</v>
      </c>
      <c r="F2747" s="46" t="s">
        <v>2271</v>
      </c>
      <c r="G2747" s="23"/>
      <c r="H2747" s="23"/>
      <c r="I2747" s="41">
        <v>132</v>
      </c>
      <c r="J2747" s="41">
        <v>348</v>
      </c>
      <c r="K2747" s="20"/>
      <c r="L2747" s="21"/>
      <c r="M2747" s="110">
        <f>IF(L2747="",I2747,(MIN(J2747,(L2747*1.6*J2747))))</f>
        <v>132</v>
      </c>
      <c r="N2747" s="111">
        <f>IF(M2747=0,0,(M2747/J2747))</f>
        <v>0.37931034482758619</v>
      </c>
    </row>
    <row r="2748" spans="2:14">
      <c r="B2748" s="72">
        <v>127804</v>
      </c>
      <c r="C2748" s="47" t="str">
        <f>"PINELLAS"</f>
        <v>PINELLAS</v>
      </c>
      <c r="D2748" s="123">
        <f>SUMIF(B$3:B$3844,B2748,M$3:M$3844)/(SUMIF(B$3:B$3844,B2748,J$3:J$3844))</f>
        <v>0.6210093385794162</v>
      </c>
      <c r="E2748" s="47">
        <v>37876</v>
      </c>
      <c r="F2748" s="48" t="str">
        <f>"LAKEWOOD COMMUNITY"</f>
        <v>LAKEWOOD COMMUNITY</v>
      </c>
      <c r="G2748" s="47"/>
      <c r="H2748" s="47"/>
      <c r="I2748" s="40"/>
      <c r="J2748" s="40">
        <v>0</v>
      </c>
      <c r="K2748" s="20"/>
      <c r="L2748" s="21"/>
      <c r="M2748" s="110">
        <f>IF(L2748="",I2748,(MIN(J2748,(L2748*1.6*J2748))))</f>
        <v>0</v>
      </c>
      <c r="N2748" s="111">
        <f>IF(M2748=0,0,(M2748/J2748))</f>
        <v>0</v>
      </c>
    </row>
    <row r="2749" spans="2:14">
      <c r="B2749" s="73">
        <v>127804</v>
      </c>
      <c r="C2749" s="23" t="str">
        <f>"PINELLAS"</f>
        <v>PINELLAS</v>
      </c>
      <c r="D2749" s="123">
        <f>SUMIF(B$3:B$3844,B2749,M$3:M$3844)/(SUMIF(B$3:B$3844,B2749,J$3:J$3844))</f>
        <v>0.6210093385794162</v>
      </c>
      <c r="E2749" s="23">
        <v>37870</v>
      </c>
      <c r="F2749" s="46" t="str">
        <f>"LAKEWOOD ELEMENTARY SCHOOL"</f>
        <v>LAKEWOOD ELEMENTARY SCHOOL</v>
      </c>
      <c r="G2749" s="23"/>
      <c r="H2749" s="23"/>
      <c r="I2749" s="41"/>
      <c r="J2749" s="41">
        <v>464</v>
      </c>
      <c r="K2749" s="20">
        <v>2014</v>
      </c>
      <c r="L2749" s="21">
        <v>0.82930000000000004</v>
      </c>
      <c r="M2749" s="110">
        <f>IF(L2749="",I2749,(MIN(J2749,(L2749*1.6*J2749))))</f>
        <v>464</v>
      </c>
      <c r="N2749" s="111">
        <f>IF(M2749=0,0,(M2749/J2749))</f>
        <v>1</v>
      </c>
    </row>
    <row r="2750" spans="2:14">
      <c r="B2750" s="72">
        <v>127804</v>
      </c>
      <c r="C2750" s="47" t="str">
        <f>"PINELLAS"</f>
        <v>PINELLAS</v>
      </c>
      <c r="D2750" s="123">
        <f>SUMIF(B$3:B$3844,B2750,M$3:M$3844)/(SUMIF(B$3:B$3844,B2750,J$3:J$3844))</f>
        <v>0.6210093385794162</v>
      </c>
      <c r="E2750" s="47">
        <v>37877</v>
      </c>
      <c r="F2750" s="48" t="str">
        <f>"LAKEWOOD HIGH SCHOOL"</f>
        <v>LAKEWOOD HIGH SCHOOL</v>
      </c>
      <c r="G2750" s="47"/>
      <c r="H2750" s="47"/>
      <c r="I2750" s="40">
        <v>646</v>
      </c>
      <c r="J2750" s="40">
        <v>1173</v>
      </c>
      <c r="K2750" s="20"/>
      <c r="L2750" s="21"/>
      <c r="M2750" s="110">
        <f>IF(L2750="",I2750,(MIN(J2750,(L2750*1.6*J2750))))</f>
        <v>646</v>
      </c>
      <c r="N2750" s="111">
        <f>IF(M2750=0,0,(M2750/J2750))</f>
        <v>0.55072463768115942</v>
      </c>
    </row>
    <row r="2751" spans="2:14">
      <c r="B2751" s="73">
        <v>127804</v>
      </c>
      <c r="C2751" s="23" t="str">
        <f>"PINELLAS"</f>
        <v>PINELLAS</v>
      </c>
      <c r="D2751" s="123">
        <f>SUMIF(B$3:B$3844,B2751,M$3:M$3844)/(SUMIF(B$3:B$3844,B2751,J$3:J$3844))</f>
        <v>0.6210093385794162</v>
      </c>
      <c r="E2751" s="23">
        <v>37986</v>
      </c>
      <c r="F2751" s="46" t="s">
        <v>2272</v>
      </c>
      <c r="G2751" s="23"/>
      <c r="H2751" s="23"/>
      <c r="I2751" s="41">
        <v>839</v>
      </c>
      <c r="J2751" s="41">
        <v>1589</v>
      </c>
      <c r="K2751" s="20"/>
      <c r="L2751" s="21"/>
      <c r="M2751" s="110">
        <f>IF(L2751="",I2751,(MIN(J2751,(L2751*1.6*J2751))))</f>
        <v>839</v>
      </c>
      <c r="N2751" s="111">
        <f>IF(M2751=0,0,(M2751/J2751))</f>
        <v>0.52800503461296411</v>
      </c>
    </row>
    <row r="2752" spans="2:14">
      <c r="B2752" s="72">
        <v>127804</v>
      </c>
      <c r="C2752" s="47" t="str">
        <f>"PINELLAS"</f>
        <v>PINELLAS</v>
      </c>
      <c r="D2752" s="123">
        <f>SUMIF(B$3:B$3844,B2752,M$3:M$3844)/(SUMIF(B$3:B$3844,B2752,J$3:J$3844))</f>
        <v>0.6210093385794162</v>
      </c>
      <c r="E2752" s="47">
        <v>37990</v>
      </c>
      <c r="F2752" s="48" t="str">
        <f>"LARGO MIDDLE SCHOOL"</f>
        <v>LARGO MIDDLE SCHOOL</v>
      </c>
      <c r="G2752" s="47"/>
      <c r="H2752" s="47"/>
      <c r="I2752" s="40"/>
      <c r="J2752" s="40">
        <v>759</v>
      </c>
      <c r="K2752" s="20">
        <v>2014</v>
      </c>
      <c r="L2752" s="21">
        <v>0.62840000000000007</v>
      </c>
      <c r="M2752" s="110">
        <f>IF(L2752="",I2752,(MIN(J2752,(L2752*1.6*J2752))))</f>
        <v>759</v>
      </c>
      <c r="N2752" s="111">
        <f>IF(M2752=0,0,(M2752/J2752))</f>
        <v>1</v>
      </c>
    </row>
    <row r="2753" spans="2:14">
      <c r="B2753" s="73">
        <v>127804</v>
      </c>
      <c r="C2753" s="23" t="str">
        <f>"PINELLAS"</f>
        <v>PINELLAS</v>
      </c>
      <c r="D2753" s="123">
        <f>SUMIF(B$3:B$3844,B2753,M$3:M$3844)/(SUMIF(B$3:B$3844,B2753,J$3:J$3844))</f>
        <v>0.6210093385794162</v>
      </c>
      <c r="E2753" s="23">
        <v>37927</v>
      </c>
      <c r="F2753" s="46" t="s">
        <v>2273</v>
      </c>
      <c r="G2753" s="23"/>
      <c r="H2753" s="23"/>
      <c r="I2753" s="41"/>
      <c r="J2753" s="41">
        <v>470</v>
      </c>
      <c r="K2753" s="20">
        <v>2014</v>
      </c>
      <c r="L2753" s="21">
        <v>0.81140000000000001</v>
      </c>
      <c r="M2753" s="110">
        <f>IF(L2753="",I2753,(MIN(J2753,(L2753*1.6*J2753))))</f>
        <v>470</v>
      </c>
      <c r="N2753" s="111">
        <f>IF(M2753=0,0,(M2753/J2753))</f>
        <v>1</v>
      </c>
    </row>
    <row r="2754" spans="2:14">
      <c r="B2754" s="72">
        <v>127804</v>
      </c>
      <c r="C2754" s="47" t="str">
        <f>"PINELLAS"</f>
        <v>PINELLAS</v>
      </c>
      <c r="D2754" s="123">
        <f>SUMIF(B$3:B$3844,B2754,M$3:M$3844)/(SUMIF(B$3:B$3844,B2754,J$3:J$3844))</f>
        <v>0.6210093385794162</v>
      </c>
      <c r="E2754" s="47">
        <v>37932</v>
      </c>
      <c r="F2754" s="48" t="str">
        <f>"LEALMAN INTERMEDIATE"</f>
        <v>LEALMAN INTERMEDIATE</v>
      </c>
      <c r="G2754" s="47"/>
      <c r="H2754" s="47"/>
      <c r="I2754" s="40"/>
      <c r="J2754" s="40">
        <v>409</v>
      </c>
      <c r="K2754" s="20">
        <v>2014</v>
      </c>
      <c r="L2754" s="21">
        <v>0.78709999999999991</v>
      </c>
      <c r="M2754" s="110">
        <f>IF(L2754="",I2754,(MIN(J2754,(L2754*1.6*J2754))))</f>
        <v>409</v>
      </c>
      <c r="N2754" s="111">
        <f>IF(M2754=0,0,(M2754/J2754))</f>
        <v>1</v>
      </c>
    </row>
    <row r="2755" spans="2:14">
      <c r="B2755" s="73">
        <v>127804</v>
      </c>
      <c r="C2755" s="23" t="str">
        <f>"PINELLAS"</f>
        <v>PINELLAS</v>
      </c>
      <c r="D2755" s="123">
        <f>SUMIF(B$3:B$3844,B2755,M$3:M$3844)/(SUMIF(B$3:B$3844,B2755,J$3:J$3844))</f>
        <v>0.6210093385794162</v>
      </c>
      <c r="E2755" s="23">
        <v>37966</v>
      </c>
      <c r="F2755" s="46" t="str">
        <f>"LEILA DAVIS ELEMENTARY SCHOOL"</f>
        <v>LEILA DAVIS ELEMENTARY SCHOOL</v>
      </c>
      <c r="G2755" s="23"/>
      <c r="H2755" s="23"/>
      <c r="I2755" s="41">
        <v>290</v>
      </c>
      <c r="J2755" s="41">
        <v>769</v>
      </c>
      <c r="K2755" s="20"/>
      <c r="L2755" s="21"/>
      <c r="M2755" s="110">
        <f>IF(L2755="",I2755,(MIN(J2755,(L2755*1.6*J2755))))</f>
        <v>290</v>
      </c>
      <c r="N2755" s="111">
        <f>IF(M2755=0,0,(M2755/J2755))</f>
        <v>0.37711313394018203</v>
      </c>
    </row>
    <row r="2756" spans="2:14">
      <c r="B2756" s="72">
        <v>127804</v>
      </c>
      <c r="C2756" s="47" t="str">
        <f>"PINELLAS"</f>
        <v>PINELLAS</v>
      </c>
      <c r="D2756" s="123">
        <f>SUMIF(B$3:B$3844,B2756,M$3:M$3844)/(SUMIF(B$3:B$3844,B2756,J$3:J$3844))</f>
        <v>0.6210093385794162</v>
      </c>
      <c r="E2756" s="47">
        <v>37855</v>
      </c>
      <c r="F2756" s="48" t="str">
        <f>"LYNCH ELEMENTARY SCHOOL"</f>
        <v>LYNCH ELEMENTARY SCHOOL</v>
      </c>
      <c r="G2756" s="47"/>
      <c r="H2756" s="47"/>
      <c r="I2756" s="40">
        <v>547</v>
      </c>
      <c r="J2756" s="40">
        <v>691</v>
      </c>
      <c r="K2756" s="20"/>
      <c r="L2756" s="21"/>
      <c r="M2756" s="110">
        <f>IF(L2756="",I2756,(MIN(J2756,(L2756*1.6*J2756))))</f>
        <v>547</v>
      </c>
      <c r="N2756" s="111">
        <f>IF(M2756=0,0,(M2756/J2756))</f>
        <v>0.79160636758321279</v>
      </c>
    </row>
    <row r="2757" spans="2:14">
      <c r="B2757" s="73">
        <v>127804</v>
      </c>
      <c r="C2757" s="23" t="str">
        <f>"PINELLAS"</f>
        <v>PINELLAS</v>
      </c>
      <c r="D2757" s="123">
        <f>SUMIF(B$3:B$3844,B2757,M$3:M$3844)/(SUMIF(B$3:B$3844,B2757,J$3:J$3844))</f>
        <v>0.6210093385794162</v>
      </c>
      <c r="E2757" s="23">
        <v>37890</v>
      </c>
      <c r="F2757" s="46" t="str">
        <f>"MADEIRA BEACH FUNDAMENTAL K-8"</f>
        <v>MADEIRA BEACH FUNDAMENTAL K-8</v>
      </c>
      <c r="G2757" s="23"/>
      <c r="H2757" s="23"/>
      <c r="I2757" s="41">
        <v>351</v>
      </c>
      <c r="J2757" s="41">
        <v>1389</v>
      </c>
      <c r="K2757" s="20"/>
      <c r="L2757" s="21"/>
      <c r="M2757" s="110">
        <f>IF(L2757="",I2757,(MIN(J2757,(L2757*1.6*J2757))))</f>
        <v>351</v>
      </c>
      <c r="N2757" s="111">
        <f>IF(M2757=0,0,(M2757/J2757))</f>
        <v>0.25269978401727861</v>
      </c>
    </row>
    <row r="2758" spans="2:14">
      <c r="B2758" s="72">
        <v>127804</v>
      </c>
      <c r="C2758" s="47" t="str">
        <f>"PINELLAS"</f>
        <v>PINELLAS</v>
      </c>
      <c r="D2758" s="123">
        <f>SUMIF(B$3:B$3844,B2758,M$3:M$3844)/(SUMIF(B$3:B$3844,B2758,J$3:J$3844))</f>
        <v>0.6210093385794162</v>
      </c>
      <c r="E2758" s="47">
        <v>38026</v>
      </c>
      <c r="F2758" s="48" t="str">
        <f>"MARJORIE KINNAN RAWLINGS ELEM"</f>
        <v>MARJORIE KINNAN RAWLINGS ELEM</v>
      </c>
      <c r="G2758" s="47"/>
      <c r="H2758" s="47"/>
      <c r="I2758" s="40"/>
      <c r="J2758" s="40">
        <v>652</v>
      </c>
      <c r="K2758" s="20">
        <v>2014</v>
      </c>
      <c r="L2758" s="21">
        <v>0.58709999999999996</v>
      </c>
      <c r="M2758" s="110">
        <f>IF(L2758="",I2758,(MIN(J2758,(L2758*1.6*J2758))))</f>
        <v>612.46271999999999</v>
      </c>
      <c r="N2758" s="111">
        <f>IF(M2758=0,0,(M2758/J2758))</f>
        <v>0.93935999999999997</v>
      </c>
    </row>
    <row r="2759" spans="2:14">
      <c r="B2759" s="73">
        <v>127804</v>
      </c>
      <c r="C2759" s="23" t="str">
        <f>"PINELLAS"</f>
        <v>PINELLAS</v>
      </c>
      <c r="D2759" s="123">
        <f>SUMIF(B$3:B$3844,B2759,M$3:M$3844)/(SUMIF(B$3:B$3844,B2759,J$3:J$3844))</f>
        <v>0.6210093385794162</v>
      </c>
      <c r="E2759" s="23">
        <v>37920</v>
      </c>
      <c r="F2759" s="46" t="str">
        <f>"MAXIMO ELEMENTARY SCHOOL"</f>
        <v>MAXIMO ELEMENTARY SCHOOL</v>
      </c>
      <c r="G2759" s="23"/>
      <c r="H2759" s="23"/>
      <c r="I2759" s="41"/>
      <c r="J2759" s="41">
        <v>416</v>
      </c>
      <c r="K2759" s="20">
        <v>2014</v>
      </c>
      <c r="L2759" s="21">
        <v>0.74670000000000003</v>
      </c>
      <c r="M2759" s="110">
        <f>IF(L2759="",I2759,(MIN(J2759,(L2759*1.6*J2759))))</f>
        <v>416</v>
      </c>
      <c r="N2759" s="111">
        <f>IF(M2759=0,0,(M2759/J2759))</f>
        <v>1</v>
      </c>
    </row>
    <row r="2760" spans="2:14">
      <c r="B2760" s="72">
        <v>127804</v>
      </c>
      <c r="C2760" s="47" t="str">
        <f>"PINELLAS"</f>
        <v>PINELLAS</v>
      </c>
      <c r="D2760" s="123">
        <f>SUMIF(B$3:B$3844,B2760,M$3:M$3844)/(SUMIF(B$3:B$3844,B2760,J$3:J$3844))</f>
        <v>0.6210093385794162</v>
      </c>
      <c r="E2760" s="47">
        <v>37957</v>
      </c>
      <c r="F2760" s="48" t="s">
        <v>2274</v>
      </c>
      <c r="G2760" s="47"/>
      <c r="H2760" s="47"/>
      <c r="I2760" s="40">
        <v>454</v>
      </c>
      <c r="J2760" s="40">
        <v>741</v>
      </c>
      <c r="K2760" s="20"/>
      <c r="L2760" s="21"/>
      <c r="M2760" s="110">
        <f>IF(L2760="",I2760,(MIN(J2760,(L2760*1.6*J2760))))</f>
        <v>454</v>
      </c>
      <c r="N2760" s="111">
        <f>IF(M2760=0,0,(M2760/J2760))</f>
        <v>0.61268556005398112</v>
      </c>
    </row>
    <row r="2761" spans="2:14">
      <c r="B2761" s="73">
        <v>127804</v>
      </c>
      <c r="C2761" s="23" t="str">
        <f>"PINELLAS"</f>
        <v>PINELLAS</v>
      </c>
      <c r="D2761" s="123">
        <f>SUMIF(B$3:B$3844,B2761,M$3:M$3844)/(SUMIF(B$3:B$3844,B2761,J$3:J$3844))</f>
        <v>0.6210093385794162</v>
      </c>
      <c r="E2761" s="23">
        <v>37861</v>
      </c>
      <c r="F2761" s="46" t="str">
        <f>"MEADOWLAWN MIDDLE SCHOOL"</f>
        <v>MEADOWLAWN MIDDLE SCHOOL</v>
      </c>
      <c r="G2761" s="23"/>
      <c r="H2761" s="23"/>
      <c r="I2761" s="41">
        <v>874</v>
      </c>
      <c r="J2761" s="41">
        <v>1177</v>
      </c>
      <c r="K2761" s="20"/>
      <c r="L2761" s="21"/>
      <c r="M2761" s="110">
        <f>IF(L2761="",I2761,(MIN(J2761,(L2761*1.6*J2761))))</f>
        <v>874</v>
      </c>
      <c r="N2761" s="111">
        <f>IF(M2761=0,0,(M2761/J2761))</f>
        <v>0.7425658453695837</v>
      </c>
    </row>
    <row r="2762" spans="2:14">
      <c r="B2762" s="72">
        <v>127804</v>
      </c>
      <c r="C2762" s="47" t="str">
        <f>"PINELLAS"</f>
        <v>PINELLAS</v>
      </c>
      <c r="D2762" s="123">
        <f>SUMIF(B$3:B$3844,B2762,M$3:M$3844)/(SUMIF(B$3:B$3844,B2762,J$3:J$3844))</f>
        <v>0.6210093385794162</v>
      </c>
      <c r="E2762" s="47">
        <v>37914</v>
      </c>
      <c r="F2762" s="48" t="str">
        <f>"MELROSE ELEMENTARY SCHOOL"</f>
        <v>MELROSE ELEMENTARY SCHOOL</v>
      </c>
      <c r="G2762" s="47"/>
      <c r="H2762" s="47"/>
      <c r="I2762" s="40"/>
      <c r="J2762" s="40">
        <v>436</v>
      </c>
      <c r="K2762" s="20">
        <v>2014</v>
      </c>
      <c r="L2762" s="21">
        <v>0.86760000000000004</v>
      </c>
      <c r="M2762" s="110">
        <f>IF(L2762="",I2762,(MIN(J2762,(L2762*1.6*J2762))))</f>
        <v>436</v>
      </c>
      <c r="N2762" s="111">
        <f>IF(M2762=0,0,(M2762/J2762))</f>
        <v>1</v>
      </c>
    </row>
    <row r="2763" spans="2:14">
      <c r="B2763" s="73">
        <v>127804</v>
      </c>
      <c r="C2763" s="23" t="str">
        <f>"PINELLAS"</f>
        <v>PINELLAS</v>
      </c>
      <c r="D2763" s="123">
        <f>SUMIF(B$3:B$3844,B2763,M$3:M$3844)/(SUMIF(B$3:B$3844,B2763,J$3:J$3844))</f>
        <v>0.6210093385794162</v>
      </c>
      <c r="E2763" s="23">
        <v>37987</v>
      </c>
      <c r="F2763" s="46" t="s">
        <v>2275</v>
      </c>
      <c r="G2763" s="23"/>
      <c r="H2763" s="23"/>
      <c r="I2763" s="41"/>
      <c r="J2763" s="41">
        <v>557</v>
      </c>
      <c r="K2763" s="20">
        <v>2014</v>
      </c>
      <c r="L2763" s="21">
        <v>0.63619999999999999</v>
      </c>
      <c r="M2763" s="110">
        <f>IF(L2763="",I2763,(MIN(J2763,(L2763*1.6*J2763))))</f>
        <v>557</v>
      </c>
      <c r="N2763" s="111">
        <f>IF(M2763=0,0,(M2763/J2763))</f>
        <v>1</v>
      </c>
    </row>
    <row r="2764" spans="2:14">
      <c r="B2764" s="72">
        <v>127804</v>
      </c>
      <c r="C2764" s="47" t="str">
        <f>"PINELLAS"</f>
        <v>PINELLAS</v>
      </c>
      <c r="D2764" s="123">
        <f>SUMIF(B$3:B$3844,B2764,M$3:M$3844)/(SUMIF(B$3:B$3844,B2764,J$3:J$3844))</f>
        <v>0.6210093385794162</v>
      </c>
      <c r="E2764" s="47">
        <v>37923</v>
      </c>
      <c r="F2764" s="48" t="str">
        <f>"MOUNT VERNON ELEMENTARY SCHOOL"</f>
        <v>MOUNT VERNON ELEMENTARY SCHOOL</v>
      </c>
      <c r="G2764" s="47"/>
      <c r="H2764" s="47"/>
      <c r="I2764" s="40"/>
      <c r="J2764" s="40">
        <v>484</v>
      </c>
      <c r="K2764" s="20">
        <v>2014</v>
      </c>
      <c r="L2764" s="21">
        <v>0.70590000000000008</v>
      </c>
      <c r="M2764" s="110">
        <f>IF(L2764="",I2764,(MIN(J2764,(L2764*1.6*J2764))))</f>
        <v>484</v>
      </c>
      <c r="N2764" s="111">
        <f>IF(M2764=0,0,(M2764/J2764))</f>
        <v>1</v>
      </c>
    </row>
    <row r="2765" spans="2:14">
      <c r="B2765" s="73">
        <v>127804</v>
      </c>
      <c r="C2765" s="23" t="str">
        <f>"PINELLAS"</f>
        <v>PINELLAS</v>
      </c>
      <c r="D2765" s="123">
        <f>SUMIF(B$3:B$3844,B2765,M$3:M$3844)/(SUMIF(B$3:B$3844,B2765,J$3:J$3844))</f>
        <v>0.6210093385794162</v>
      </c>
      <c r="E2765" s="23">
        <v>16049674</v>
      </c>
      <c r="F2765" s="46" t="str">
        <f>"NEW HEIGHTS ELEMENTARY SCHOOL"</f>
        <v>NEW HEIGHTS ELEMENTARY SCHOOL</v>
      </c>
      <c r="G2765" s="23"/>
      <c r="H2765" s="23"/>
      <c r="I2765" s="41"/>
      <c r="J2765" s="41">
        <v>834</v>
      </c>
      <c r="K2765" s="20">
        <v>2014</v>
      </c>
      <c r="L2765" s="21">
        <v>0.66980000000000006</v>
      </c>
      <c r="M2765" s="110">
        <f>IF(L2765="",I2765,(MIN(J2765,(L2765*1.6*J2765))))</f>
        <v>834</v>
      </c>
      <c r="N2765" s="111">
        <f>IF(M2765=0,0,(M2765/J2765))</f>
        <v>1</v>
      </c>
    </row>
    <row r="2766" spans="2:14">
      <c r="B2766" s="72">
        <v>127804</v>
      </c>
      <c r="C2766" s="47" t="str">
        <f>"PINELLAS"</f>
        <v>PINELLAS</v>
      </c>
      <c r="D2766" s="123">
        <f>SUMIF(B$3:B$3844,B2766,M$3:M$3844)/(SUMIF(B$3:B$3844,B2766,J$3:J$3844))</f>
        <v>0.6210093385794162</v>
      </c>
      <c r="E2766" s="47">
        <v>38025</v>
      </c>
      <c r="F2766" s="48" t="str">
        <f>"NINA HARRIS ESE CENTER"</f>
        <v>NINA HARRIS ESE CENTER</v>
      </c>
      <c r="G2766" s="47"/>
      <c r="H2766" s="47"/>
      <c r="I2766" s="40"/>
      <c r="J2766" s="40">
        <v>236</v>
      </c>
      <c r="K2766" s="20">
        <v>2014</v>
      </c>
      <c r="L2766" s="21">
        <v>0.44350000000000001</v>
      </c>
      <c r="M2766" s="110">
        <f>IF(L2766="",I2766,(MIN(J2766,(L2766*1.6*J2766))))</f>
        <v>167.46559999999999</v>
      </c>
      <c r="N2766" s="111">
        <f>IF(M2766=0,0,(M2766/J2766))</f>
        <v>0.70960000000000001</v>
      </c>
    </row>
    <row r="2767" spans="2:14">
      <c r="B2767" s="73">
        <v>127804</v>
      </c>
      <c r="C2767" s="23" t="str">
        <f>"PINELLAS"</f>
        <v>PINELLAS</v>
      </c>
      <c r="D2767" s="123">
        <f>SUMIF(B$3:B$3844,B2767,M$3:M$3844)/(SUMIF(B$3:B$3844,B2767,J$3:J$3844))</f>
        <v>0.6210093385794162</v>
      </c>
      <c r="E2767" s="23">
        <v>37868</v>
      </c>
      <c r="F2767" s="46" t="str">
        <f>"NORTH SHORE ELEMENTARY SCHOOL"</f>
        <v>NORTH SHORE ELEMENTARY SCHOOL</v>
      </c>
      <c r="G2767" s="23"/>
      <c r="H2767" s="23"/>
      <c r="I2767" s="41">
        <v>241</v>
      </c>
      <c r="J2767" s="41">
        <v>334</v>
      </c>
      <c r="K2767" s="20"/>
      <c r="L2767" s="21"/>
      <c r="M2767" s="110">
        <f>IF(L2767="",I2767,(MIN(J2767,(L2767*1.6*J2767))))</f>
        <v>241</v>
      </c>
      <c r="N2767" s="111">
        <f>IF(M2767=0,0,(M2767/J2767))</f>
        <v>0.72155688622754488</v>
      </c>
    </row>
    <row r="2768" spans="2:14">
      <c r="B2768" s="72">
        <v>127804</v>
      </c>
      <c r="C2768" s="47" t="str">
        <f>"PINELLAS"</f>
        <v>PINELLAS</v>
      </c>
      <c r="D2768" s="123">
        <f>SUMIF(B$3:B$3844,B2768,M$3:M$3844)/(SUMIF(B$3:B$3844,B2768,J$3:J$3844))</f>
        <v>0.6210093385794162</v>
      </c>
      <c r="E2768" s="47">
        <v>16070279</v>
      </c>
      <c r="F2768" s="48" t="str">
        <f>"NORTH WARD ELEMENTARY SCHOOL"</f>
        <v>NORTH WARD ELEMENTARY SCHOOL</v>
      </c>
      <c r="G2768" s="47"/>
      <c r="H2768" s="47"/>
      <c r="I2768" s="40"/>
      <c r="J2768" s="40">
        <v>0</v>
      </c>
      <c r="K2768" s="20"/>
      <c r="L2768" s="21"/>
      <c r="M2768" s="110">
        <f>IF(L2768="",I2768,(MIN(J2768,(L2768*1.6*J2768))))</f>
        <v>0</v>
      </c>
      <c r="N2768" s="111">
        <f>IF(M2768=0,0,(M2768/J2768))</f>
        <v>0</v>
      </c>
    </row>
    <row r="2769" spans="2:14">
      <c r="B2769" s="73">
        <v>127804</v>
      </c>
      <c r="C2769" s="23" t="str">
        <f>"PINELLAS"</f>
        <v>PINELLAS</v>
      </c>
      <c r="D2769" s="123">
        <f>SUMIF(B$3:B$3844,B2769,M$3:M$3844)/(SUMIF(B$3:B$3844,B2769,J$3:J$3844))</f>
        <v>0.6210093385794162</v>
      </c>
      <c r="E2769" s="23">
        <v>16066608</v>
      </c>
      <c r="F2769" s="46" t="str">
        <f>"NORTH WARD SECONDARY SCHOOL"</f>
        <v>NORTH WARD SECONDARY SCHOOL</v>
      </c>
      <c r="G2769" s="23"/>
      <c r="H2769" s="23"/>
      <c r="I2769" s="41"/>
      <c r="J2769" s="41">
        <v>0</v>
      </c>
      <c r="K2769" s="20"/>
      <c r="L2769" s="21"/>
      <c r="M2769" s="110">
        <f>IF(L2769="",I2769,(MIN(J2769,(L2769*1.6*J2769))))</f>
        <v>0</v>
      </c>
      <c r="N2769" s="111">
        <f>IF(M2769=0,0,(M2769/J2769))</f>
        <v>0</v>
      </c>
    </row>
    <row r="2770" spans="2:14">
      <c r="B2770" s="72">
        <v>127804</v>
      </c>
      <c r="C2770" s="47" t="str">
        <f>"PINELLAS"</f>
        <v>PINELLAS</v>
      </c>
      <c r="D2770" s="123">
        <f>SUMIF(B$3:B$3844,B2770,M$3:M$3844)/(SUMIF(B$3:B$3844,B2770,J$3:J$3844))</f>
        <v>0.6210093385794162</v>
      </c>
      <c r="E2770" s="47">
        <v>16035197</v>
      </c>
      <c r="F2770" s="48" t="str">
        <f>"NORTHEAST COMMUNITY"</f>
        <v>NORTHEAST COMMUNITY</v>
      </c>
      <c r="G2770" s="47"/>
      <c r="H2770" s="47"/>
      <c r="I2770" s="40"/>
      <c r="J2770" s="40">
        <v>0</v>
      </c>
      <c r="K2770" s="20"/>
      <c r="L2770" s="21"/>
      <c r="M2770" s="110">
        <f>IF(L2770="",I2770,(MIN(J2770,(L2770*1.6*J2770))))</f>
        <v>0</v>
      </c>
      <c r="N2770" s="111">
        <f>IF(M2770=0,0,(M2770/J2770))</f>
        <v>0</v>
      </c>
    </row>
    <row r="2771" spans="2:14">
      <c r="B2771" s="73">
        <v>127804</v>
      </c>
      <c r="C2771" s="23" t="str">
        <f>"PINELLAS"</f>
        <v>PINELLAS</v>
      </c>
      <c r="D2771" s="123">
        <f>SUMIF(B$3:B$3844,B2771,M$3:M$3844)/(SUMIF(B$3:B$3844,B2771,J$3:J$3844))</f>
        <v>0.6210093385794162</v>
      </c>
      <c r="E2771" s="23">
        <v>37929</v>
      </c>
      <c r="F2771" s="46" t="str">
        <f>"NORTHEAST HIGH SCHOOL"</f>
        <v>NORTHEAST HIGH SCHOOL</v>
      </c>
      <c r="G2771" s="23"/>
      <c r="H2771" s="23"/>
      <c r="I2771" s="41">
        <v>1032</v>
      </c>
      <c r="J2771" s="41">
        <v>1802</v>
      </c>
      <c r="K2771" s="20"/>
      <c r="L2771" s="21"/>
      <c r="M2771" s="110">
        <f>IF(L2771="",I2771,(MIN(J2771,(L2771*1.6*J2771))))</f>
        <v>1032</v>
      </c>
      <c r="N2771" s="127">
        <f>IF(M2771=0,0,(M2771/J2771))</f>
        <v>0.57269700332963369</v>
      </c>
    </row>
    <row r="2772" spans="2:14">
      <c r="B2772" s="72">
        <v>127804</v>
      </c>
      <c r="C2772" s="47" t="str">
        <f>"PINELLAS"</f>
        <v>PINELLAS</v>
      </c>
      <c r="D2772" s="123">
        <f>SUMIF(B$3:B$3844,B2772,M$3:M$3844)/(SUMIF(B$3:B$3844,B2772,J$3:J$3844))</f>
        <v>0.6210093385794162</v>
      </c>
      <c r="E2772" s="47">
        <v>37902</v>
      </c>
      <c r="F2772" s="48" t="str">
        <f>"NORTHWEST ELEMENTARY SCHOOL"</f>
        <v>NORTHWEST ELEMENTARY SCHOOL</v>
      </c>
      <c r="G2772" s="47"/>
      <c r="H2772" s="47"/>
      <c r="I2772" s="40"/>
      <c r="J2772" s="40">
        <v>602</v>
      </c>
      <c r="K2772" s="20">
        <v>2014</v>
      </c>
      <c r="L2772" s="21">
        <v>0.56059999999999999</v>
      </c>
      <c r="M2772" s="110">
        <f>IF(L2772="",I2772,(MIN(J2772,(L2772*1.6*J2772))))</f>
        <v>539.96992</v>
      </c>
      <c r="N2772" s="111">
        <f>IF(M2772=0,0,(M2772/J2772))</f>
        <v>0.89695999999999998</v>
      </c>
    </row>
    <row r="2773" spans="2:14">
      <c r="B2773" s="73">
        <v>127804</v>
      </c>
      <c r="C2773" s="23" t="str">
        <f>"PINELLAS"</f>
        <v>PINELLAS</v>
      </c>
      <c r="D2773" s="123">
        <f>SUMIF(B$3:B$3844,B2773,M$3:M$3844)/(SUMIF(B$3:B$3844,B2773,J$3:J$3844))</f>
        <v>0.6210093385794162</v>
      </c>
      <c r="E2773" s="23">
        <v>16066614</v>
      </c>
      <c r="F2773" s="46" t="str">
        <f>"NORWOOD SECONDARY"</f>
        <v>NORWOOD SECONDARY</v>
      </c>
      <c r="G2773" s="23"/>
      <c r="H2773" s="23"/>
      <c r="I2773" s="41"/>
      <c r="J2773" s="41">
        <v>0</v>
      </c>
      <c r="K2773" s="20"/>
      <c r="L2773" s="21"/>
      <c r="M2773" s="110">
        <f>IF(L2773="",I2773,(MIN(J2773,(L2773*1.6*J2773))))</f>
        <v>0</v>
      </c>
      <c r="N2773" s="111">
        <f>IF(M2773=0,0,(M2773/J2773))</f>
        <v>0</v>
      </c>
    </row>
    <row r="2774" spans="2:14">
      <c r="B2774" s="72">
        <v>127804</v>
      </c>
      <c r="C2774" s="47" t="str">
        <f>"PINELLAS"</f>
        <v>PINELLAS</v>
      </c>
      <c r="D2774" s="123">
        <f>SUMIF(B$3:B$3844,B2774,M$3:M$3844)/(SUMIF(B$3:B$3844,B2774,J$3:J$3844))</f>
        <v>0.6210093385794162</v>
      </c>
      <c r="E2774" s="47">
        <v>37969</v>
      </c>
      <c r="F2774" s="48" t="str">
        <f>"OAK GROVE MIDDLE SCHOOL"</f>
        <v>OAK GROVE MIDDLE SCHOOL</v>
      </c>
      <c r="G2774" s="47"/>
      <c r="H2774" s="47"/>
      <c r="I2774" s="40"/>
      <c r="J2774" s="40">
        <v>1031</v>
      </c>
      <c r="K2774" s="20">
        <v>2015</v>
      </c>
      <c r="L2774" s="21">
        <v>0.50600000000000001</v>
      </c>
      <c r="M2774" s="110">
        <f>IF(L2774="",I2774,(MIN(J2774,(L2774*1.6*J2774))))</f>
        <v>834.69760000000008</v>
      </c>
      <c r="N2774" s="111">
        <f>IF(M2774=0,0,(M2774/J2774))</f>
        <v>0.8096000000000001</v>
      </c>
    </row>
    <row r="2775" spans="2:14">
      <c r="B2775" s="73">
        <v>127804</v>
      </c>
      <c r="C2775" s="23" t="str">
        <f>"PINELLAS"</f>
        <v>PINELLAS</v>
      </c>
      <c r="D2775" s="123">
        <f>SUMIF(B$3:B$3844,B2775,M$3:M$3844)/(SUMIF(B$3:B$3844,B2775,J$3:J$3844))</f>
        <v>0.6210093385794162</v>
      </c>
      <c r="E2775" s="23">
        <v>38006</v>
      </c>
      <c r="F2775" s="46" t="str">
        <f>"OAKHURST ELEMENTARY SCHOOL"</f>
        <v>OAKHURST ELEMENTARY SCHOOL</v>
      </c>
      <c r="G2775" s="23"/>
      <c r="H2775" s="23"/>
      <c r="I2775" s="41">
        <v>292</v>
      </c>
      <c r="J2775" s="41">
        <v>720</v>
      </c>
      <c r="K2775" s="20"/>
      <c r="L2775" s="21"/>
      <c r="M2775" s="110">
        <f>IF(L2775="",I2775,(MIN(J2775,(L2775*1.6*J2775))))</f>
        <v>292</v>
      </c>
      <c r="N2775" s="111">
        <f>IF(M2775=0,0,(M2775/J2775))</f>
        <v>0.40555555555555556</v>
      </c>
    </row>
    <row r="2776" spans="2:14">
      <c r="B2776" s="72">
        <v>127804</v>
      </c>
      <c r="C2776" s="47" t="str">
        <f>"PINELLAS"</f>
        <v>PINELLAS</v>
      </c>
      <c r="D2776" s="123">
        <f>SUMIF(B$3:B$3844,B2776,M$3:M$3844)/(SUMIF(B$3:B$3844,B2776,J$3:J$3844))</f>
        <v>0.6210093385794162</v>
      </c>
      <c r="E2776" s="47">
        <v>38676</v>
      </c>
      <c r="F2776" s="48" t="str">
        <f>"OLDSMAR ELEMENTARY SCHOOL"</f>
        <v>OLDSMAR ELEMENTARY SCHOOL</v>
      </c>
      <c r="G2776" s="47"/>
      <c r="H2776" s="47"/>
      <c r="I2776" s="40">
        <v>287</v>
      </c>
      <c r="J2776" s="40">
        <v>553</v>
      </c>
      <c r="K2776" s="20"/>
      <c r="L2776" s="21"/>
      <c r="M2776" s="110">
        <f>IF(L2776="",I2776,(MIN(J2776,(L2776*1.6*J2776))))</f>
        <v>287</v>
      </c>
      <c r="N2776" s="111">
        <f>IF(M2776=0,0,(M2776/J2776))</f>
        <v>0.51898734177215189</v>
      </c>
    </row>
    <row r="2777" spans="2:14">
      <c r="B2777" s="73">
        <v>127804</v>
      </c>
      <c r="C2777" s="23" t="str">
        <f>"PINELLAS"</f>
        <v>PINELLAS</v>
      </c>
      <c r="D2777" s="123">
        <f>SUMIF(B$3:B$3844,B2777,M$3:M$3844)/(SUMIF(B$3:B$3844,B2777,J$3:J$3844))</f>
        <v>0.6210093385794162</v>
      </c>
      <c r="E2777" s="23">
        <v>37996</v>
      </c>
      <c r="F2777" s="46" t="str">
        <f>"ORANGE GROVE ELEMENTARY SCHOOL"</f>
        <v>ORANGE GROVE ELEMENTARY SCHOOL</v>
      </c>
      <c r="G2777" s="23"/>
      <c r="H2777" s="23"/>
      <c r="I2777" s="41">
        <v>181</v>
      </c>
      <c r="J2777" s="41">
        <v>321</v>
      </c>
      <c r="K2777" s="20"/>
      <c r="L2777" s="21"/>
      <c r="M2777" s="110">
        <f>IF(L2777="",I2777,(MIN(J2777,(L2777*1.6*J2777))))</f>
        <v>181</v>
      </c>
      <c r="N2777" s="111">
        <f>IF(M2777=0,0,(M2777/J2777))</f>
        <v>0.56386292834890961</v>
      </c>
    </row>
    <row r="2778" spans="2:14">
      <c r="B2778" s="72">
        <v>127804</v>
      </c>
      <c r="C2778" s="47" t="str">
        <f>"PINELLAS"</f>
        <v>PINELLAS</v>
      </c>
      <c r="D2778" s="123">
        <f>SUMIF(B$3:B$3844,B2778,M$3:M$3844)/(SUMIF(B$3:B$3844,B2778,J$3:J$3844))</f>
        <v>0.6210093385794162</v>
      </c>
      <c r="E2778" s="47">
        <v>38012</v>
      </c>
      <c r="F2778" s="48" t="str">
        <f>"OSCEOLA FUNDAMENTAL HIGH"</f>
        <v>OSCEOLA FUNDAMENTAL HIGH</v>
      </c>
      <c r="G2778" s="47"/>
      <c r="H2778" s="47"/>
      <c r="I2778" s="40">
        <v>387</v>
      </c>
      <c r="J2778" s="40">
        <v>1709</v>
      </c>
      <c r="K2778" s="20"/>
      <c r="L2778" s="21"/>
      <c r="M2778" s="110">
        <f>IF(L2778="",I2778,(MIN(J2778,(L2778*1.6*J2778))))</f>
        <v>387</v>
      </c>
      <c r="N2778" s="111">
        <f>IF(M2778=0,0,(M2778/J2778))</f>
        <v>0.22644821533060269</v>
      </c>
    </row>
    <row r="2779" spans="2:14">
      <c r="B2779" s="73">
        <v>127804</v>
      </c>
      <c r="C2779" s="23" t="str">
        <f>"PINELLAS"</f>
        <v>PINELLAS</v>
      </c>
      <c r="D2779" s="123">
        <f>SUMIF(B$3:B$3844,B2779,M$3:M$3844)/(SUMIF(B$3:B$3844,B2779,J$3:J$3844))</f>
        <v>0.6210093385794162</v>
      </c>
      <c r="E2779" s="23">
        <v>38013</v>
      </c>
      <c r="F2779" s="46" t="str">
        <f>"OSCEOLA MIDDLE SCHOOL"</f>
        <v>OSCEOLA MIDDLE SCHOOL</v>
      </c>
      <c r="G2779" s="23"/>
      <c r="H2779" s="23"/>
      <c r="I2779" s="41">
        <v>709</v>
      </c>
      <c r="J2779" s="41">
        <v>1242</v>
      </c>
      <c r="K2779" s="20"/>
      <c r="L2779" s="21"/>
      <c r="M2779" s="110">
        <f>IF(L2779="",I2779,(MIN(J2779,(L2779*1.6*J2779))))</f>
        <v>709</v>
      </c>
      <c r="N2779" s="111">
        <f>IF(M2779=0,0,(M2779/J2779))</f>
        <v>0.57085346215780997</v>
      </c>
    </row>
    <row r="2780" spans="2:14">
      <c r="B2780" s="72">
        <v>127804</v>
      </c>
      <c r="C2780" s="47" t="str">
        <f>"PINELLAS"</f>
        <v>PINELLAS</v>
      </c>
      <c r="D2780" s="123">
        <f>SUMIF(B$3:B$3844,B2780,M$3:M$3844)/(SUMIF(B$3:B$3844,B2780,J$3:J$3844))</f>
        <v>0.6210093385794162</v>
      </c>
      <c r="E2780" s="47">
        <v>38684</v>
      </c>
      <c r="F2780" s="48" t="str">
        <f>"OZONA ELEMENTARY SCHOOL"</f>
        <v>OZONA ELEMENTARY SCHOOL</v>
      </c>
      <c r="G2780" s="47"/>
      <c r="H2780" s="47"/>
      <c r="I2780" s="40">
        <v>278</v>
      </c>
      <c r="J2780" s="40">
        <v>774</v>
      </c>
      <c r="K2780" s="20"/>
      <c r="L2780" s="21"/>
      <c r="M2780" s="110">
        <f>IF(L2780="",I2780,(MIN(J2780,(L2780*1.6*J2780))))</f>
        <v>278</v>
      </c>
      <c r="N2780" s="111">
        <f>IF(M2780=0,0,(M2780/J2780))</f>
        <v>0.35917312661498707</v>
      </c>
    </row>
    <row r="2781" spans="2:14">
      <c r="B2781" s="73">
        <v>127804</v>
      </c>
      <c r="C2781" s="23" t="str">
        <f>"PINELLAS"</f>
        <v>PINELLAS</v>
      </c>
      <c r="D2781" s="123">
        <f>SUMIF(B$3:B$3844,B2781,M$3:M$3844)/(SUMIF(B$3:B$3844,B2781,J$3:J$3844))</f>
        <v>0.6210093385794162</v>
      </c>
      <c r="E2781" s="23">
        <v>206455</v>
      </c>
      <c r="F2781" s="46" t="str">
        <f>"PACE CENTER FOR GIRLS"</f>
        <v>PACE CENTER FOR GIRLS</v>
      </c>
      <c r="G2781" s="23"/>
      <c r="H2781" s="23"/>
      <c r="I2781" s="41">
        <v>26</v>
      </c>
      <c r="J2781" s="41">
        <v>54</v>
      </c>
      <c r="K2781" s="20"/>
      <c r="L2781" s="21"/>
      <c r="M2781" s="110">
        <f>IF(L2781="",I2781,(MIN(J2781,(L2781*1.6*J2781))))</f>
        <v>26</v>
      </c>
      <c r="N2781" s="111">
        <f>IF(M2781=0,0,(M2781/J2781))</f>
        <v>0.48148148148148145</v>
      </c>
    </row>
    <row r="2782" spans="2:14">
      <c r="B2782" s="72">
        <v>127804</v>
      </c>
      <c r="C2782" s="47" t="str">
        <f>"PINELLAS"</f>
        <v>PINELLAS</v>
      </c>
      <c r="D2782" s="123">
        <f>SUMIF(B$3:B$3844,B2782,M$3:M$3844)/(SUMIF(B$3:B$3844,B2782,J$3:J$3844))</f>
        <v>0.6210093385794162</v>
      </c>
      <c r="E2782" s="47">
        <v>38681</v>
      </c>
      <c r="F2782" s="48" t="s">
        <v>2276</v>
      </c>
      <c r="G2782" s="47"/>
      <c r="H2782" s="47"/>
      <c r="I2782" s="40"/>
      <c r="J2782" s="40">
        <v>0</v>
      </c>
      <c r="K2782" s="20"/>
      <c r="L2782" s="21"/>
      <c r="M2782" s="110">
        <f>IF(L2782="",I2782,(MIN(J2782,(L2782*1.6*J2782))))</f>
        <v>0</v>
      </c>
      <c r="N2782" s="111">
        <f>IF(M2782=0,0,(M2782/J2782))</f>
        <v>0</v>
      </c>
    </row>
    <row r="2783" spans="2:14">
      <c r="B2783" s="73">
        <v>127804</v>
      </c>
      <c r="C2783" s="23" t="str">
        <f>"PINELLAS"</f>
        <v>PINELLAS</v>
      </c>
      <c r="D2783" s="123">
        <f>SUMIF(B$3:B$3844,B2783,M$3:M$3844)/(SUMIF(B$3:B$3844,B2783,J$3:J$3844))</f>
        <v>0.6210093385794162</v>
      </c>
      <c r="E2783" s="23">
        <v>16066613</v>
      </c>
      <c r="F2783" s="46" t="str">
        <f>"PALM HARBOR ELEMENTARY SCHOOL"</f>
        <v>PALM HARBOR ELEMENTARY SCHOOL</v>
      </c>
      <c r="G2783" s="23"/>
      <c r="H2783" s="23"/>
      <c r="I2783" s="41"/>
      <c r="J2783" s="41">
        <v>0</v>
      </c>
      <c r="K2783" s="20"/>
      <c r="L2783" s="21"/>
      <c r="M2783" s="110">
        <f>IF(L2783="",I2783,(MIN(J2783,(L2783*1.6*J2783))))</f>
        <v>0</v>
      </c>
      <c r="N2783" s="111">
        <f>IF(M2783=0,0,(M2783/J2783))</f>
        <v>0</v>
      </c>
    </row>
    <row r="2784" spans="2:14">
      <c r="B2784" s="72">
        <v>127804</v>
      </c>
      <c r="C2784" s="47" t="str">
        <f>"PINELLAS"</f>
        <v>PINELLAS</v>
      </c>
      <c r="D2784" s="123">
        <f>SUMIF(B$3:B$3844,B2784,M$3:M$3844)/(SUMIF(B$3:B$3844,B2784,J$3:J$3844))</f>
        <v>0.6210093385794162</v>
      </c>
      <c r="E2784" s="47">
        <v>38685</v>
      </c>
      <c r="F2784" s="48" t="str">
        <f>"PALM HARBOR MIDDLE SCHOOL"</f>
        <v>PALM HARBOR MIDDLE SCHOOL</v>
      </c>
      <c r="G2784" s="47"/>
      <c r="H2784" s="47"/>
      <c r="I2784" s="40">
        <v>473</v>
      </c>
      <c r="J2784" s="40">
        <v>1350</v>
      </c>
      <c r="K2784" s="20"/>
      <c r="L2784" s="21"/>
      <c r="M2784" s="110">
        <f>IF(L2784="",I2784,(MIN(J2784,(L2784*1.6*J2784))))</f>
        <v>473</v>
      </c>
      <c r="N2784" s="111">
        <f>IF(M2784=0,0,(M2784/J2784))</f>
        <v>0.35037037037037039</v>
      </c>
    </row>
    <row r="2785" spans="2:14">
      <c r="B2785" s="73">
        <v>127804</v>
      </c>
      <c r="C2785" s="23" t="str">
        <f>"PINELLAS"</f>
        <v>PINELLAS</v>
      </c>
      <c r="D2785" s="123">
        <f>SUMIF(B$3:B$3844,B2785,M$3:M$3844)/(SUMIF(B$3:B$3844,B2785,J$3:J$3844))</f>
        <v>0.6210093385794162</v>
      </c>
      <c r="E2785" s="23">
        <v>38682</v>
      </c>
      <c r="F2785" s="46" t="str">
        <f>"PALM HARBOR UNIVERSITY HIGH"</f>
        <v>PALM HARBOR UNIVERSITY HIGH</v>
      </c>
      <c r="G2785" s="23"/>
      <c r="H2785" s="23"/>
      <c r="I2785" s="41">
        <v>577</v>
      </c>
      <c r="J2785" s="41">
        <v>2501</v>
      </c>
      <c r="K2785" s="20"/>
      <c r="L2785" s="21"/>
      <c r="M2785" s="110">
        <f>IF(L2785="",I2785,(MIN(J2785,(L2785*1.6*J2785))))</f>
        <v>577</v>
      </c>
      <c r="N2785" s="111">
        <f>IF(M2785=0,0,(M2785/J2785))</f>
        <v>0.23070771691323472</v>
      </c>
    </row>
    <row r="2786" spans="2:14">
      <c r="B2786" s="72">
        <v>127804</v>
      </c>
      <c r="C2786" s="47" t="str">
        <f>"PINELLAS"</f>
        <v>PINELLAS</v>
      </c>
      <c r="D2786" s="123">
        <f>SUMIF(B$3:B$3844,B2786,M$3:M$3844)/(SUMIF(B$3:B$3844,B2786,J$3:J$3844))</f>
        <v>0.6210093385794162</v>
      </c>
      <c r="E2786" s="47">
        <v>37907</v>
      </c>
      <c r="F2786" s="48" t="s">
        <v>2277</v>
      </c>
      <c r="G2786" s="47"/>
      <c r="H2786" s="47"/>
      <c r="I2786" s="40">
        <v>131</v>
      </c>
      <c r="J2786" s="40">
        <v>464</v>
      </c>
      <c r="K2786" s="20"/>
      <c r="L2786" s="21"/>
      <c r="M2786" s="110">
        <f>IF(L2786="",I2786,(MIN(J2786,(L2786*1.6*J2786))))</f>
        <v>131</v>
      </c>
      <c r="N2786" s="111">
        <f>IF(M2786=0,0,(M2786/J2786))</f>
        <v>0.28232758620689657</v>
      </c>
    </row>
    <row r="2787" spans="2:14">
      <c r="B2787" s="73">
        <v>127804</v>
      </c>
      <c r="C2787" s="23" t="str">
        <f>"PINELLAS"</f>
        <v>PINELLAS</v>
      </c>
      <c r="D2787" s="123">
        <f>SUMIF(B$3:B$3844,B2787,M$3:M$3844)/(SUMIF(B$3:B$3844,B2787,J$3:J$3844))</f>
        <v>0.6210093385794162</v>
      </c>
      <c r="E2787" s="23">
        <v>37958</v>
      </c>
      <c r="F2787" s="46" t="str">
        <f>"PAUL B. STEPHENS ESE CENTER"</f>
        <v>PAUL B. STEPHENS ESE CENTER</v>
      </c>
      <c r="G2787" s="23"/>
      <c r="H2787" s="23"/>
      <c r="I2787" s="41">
        <v>112</v>
      </c>
      <c r="J2787" s="41">
        <v>197</v>
      </c>
      <c r="K2787" s="20"/>
      <c r="L2787" s="21"/>
      <c r="M2787" s="110">
        <f>IF(L2787="",I2787,(MIN(J2787,(L2787*1.6*J2787))))</f>
        <v>112</v>
      </c>
      <c r="N2787" s="111">
        <f>IF(M2787=0,0,(M2787/J2787))</f>
        <v>0.56852791878172593</v>
      </c>
    </row>
    <row r="2788" spans="2:14">
      <c r="B2788" s="72">
        <v>127804</v>
      </c>
      <c r="C2788" s="47" t="str">
        <f>"PINELLAS"</f>
        <v>PINELLAS</v>
      </c>
      <c r="D2788" s="123">
        <f>SUMIF(B$3:B$3844,B2788,M$3:M$3844)/(SUMIF(B$3:B$3844,B2788,J$3:J$3844))</f>
        <v>0.6210093385794162</v>
      </c>
      <c r="E2788" s="47">
        <v>37915</v>
      </c>
      <c r="F2788" s="48" t="str">
        <f>"PERKINS ELEMENTARY SCHOOL"</f>
        <v>PERKINS ELEMENTARY SCHOOL</v>
      </c>
      <c r="G2788" s="47"/>
      <c r="H2788" s="47"/>
      <c r="I2788" s="40">
        <v>290</v>
      </c>
      <c r="J2788" s="40">
        <v>584</v>
      </c>
      <c r="K2788" s="20"/>
      <c r="L2788" s="21"/>
      <c r="M2788" s="110">
        <f>IF(L2788="",I2788,(MIN(J2788,(L2788*1.6*J2788))))</f>
        <v>290</v>
      </c>
      <c r="N2788" s="111">
        <f>IF(M2788=0,0,(M2788/J2788))</f>
        <v>0.49657534246575341</v>
      </c>
    </row>
    <row r="2789" spans="2:14">
      <c r="B2789" s="73">
        <v>127804</v>
      </c>
      <c r="C2789" s="23" t="str">
        <f>"PINELLAS"</f>
        <v>PINELLAS</v>
      </c>
      <c r="D2789" s="123">
        <f>SUMIF(B$3:B$3844,B2789,M$3:M$3844)/(SUMIF(B$3:B$3844,B2789,J$3:J$3844))</f>
        <v>0.6210093385794162</v>
      </c>
      <c r="E2789" s="23">
        <v>38028</v>
      </c>
      <c r="F2789" s="46" t="s">
        <v>2278</v>
      </c>
      <c r="G2789" s="23"/>
      <c r="H2789" s="23"/>
      <c r="I2789" s="41">
        <v>485</v>
      </c>
      <c r="J2789" s="41">
        <v>661</v>
      </c>
      <c r="K2789" s="20"/>
      <c r="L2789" s="21"/>
      <c r="M2789" s="110">
        <f>IF(L2789="",I2789,(MIN(J2789,(L2789*1.6*J2789))))</f>
        <v>485</v>
      </c>
      <c r="N2789" s="111">
        <f>IF(M2789=0,0,(M2789/J2789))</f>
        <v>0.73373676248108921</v>
      </c>
    </row>
    <row r="2790" spans="2:14">
      <c r="B2790" s="72">
        <v>127804</v>
      </c>
      <c r="C2790" s="47" t="str">
        <f>"PINELLAS"</f>
        <v>PINELLAS</v>
      </c>
      <c r="D2790" s="123">
        <f>SUMIF(B$3:B$3844,B2790,M$3:M$3844)/(SUMIF(B$3:B$3844,B2790,J$3:J$3844))</f>
        <v>0.6210093385794162</v>
      </c>
      <c r="E2790" s="47">
        <v>16084303</v>
      </c>
      <c r="F2790" s="48" t="str">
        <f>"PINELLAS COUNTY JAIL"</f>
        <v>PINELLAS COUNTY JAIL</v>
      </c>
      <c r="G2790" s="47"/>
      <c r="H2790" s="47"/>
      <c r="I2790" s="40">
        <v>5</v>
      </c>
      <c r="J2790" s="40">
        <v>17</v>
      </c>
      <c r="K2790" s="20"/>
      <c r="L2790" s="21"/>
      <c r="M2790" s="110">
        <f>IF(L2790="",I2790,(MIN(J2790,(L2790*1.6*J2790))))</f>
        <v>5</v>
      </c>
      <c r="N2790" s="111">
        <f>IF(M2790=0,0,(M2790/J2790))</f>
        <v>0.29411764705882354</v>
      </c>
    </row>
    <row r="2791" spans="2:14">
      <c r="B2791" s="73">
        <v>127804</v>
      </c>
      <c r="C2791" s="23" t="str">
        <f>"PINELLAS"</f>
        <v>PINELLAS</v>
      </c>
      <c r="D2791" s="123">
        <f>SUMIF(B$3:B$3844,B2791,M$3:M$3844)/(SUMIF(B$3:B$3844,B2791,J$3:J$3844))</f>
        <v>0.6210093385794162</v>
      </c>
      <c r="E2791" s="23">
        <v>205067</v>
      </c>
      <c r="F2791" s="46" t="str">
        <f>"PINELLAS DISTRICT OFFICE"</f>
        <v>PINELLAS DISTRICT OFFICE</v>
      </c>
      <c r="G2791" s="23"/>
      <c r="H2791" s="23"/>
      <c r="I2791" s="41"/>
      <c r="J2791" s="41">
        <v>0</v>
      </c>
      <c r="K2791" s="20"/>
      <c r="L2791" s="21"/>
      <c r="M2791" s="110">
        <f>IF(L2791="",I2791,(MIN(J2791,(L2791*1.6*J2791))))</f>
        <v>0</v>
      </c>
      <c r="N2791" s="111">
        <f>IF(M2791=0,0,(M2791/J2791))</f>
        <v>0</v>
      </c>
    </row>
    <row r="2792" spans="2:14">
      <c r="B2792" s="72">
        <v>127804</v>
      </c>
      <c r="C2792" s="47" t="str">
        <f>"PINELLAS"</f>
        <v>PINELLAS</v>
      </c>
      <c r="D2792" s="123">
        <f>SUMIF(B$3:B$3844,B2792,M$3:M$3844)/(SUMIF(B$3:B$3844,B2792,J$3:J$3844))</f>
        <v>0.6210093385794162</v>
      </c>
      <c r="E2792" s="47">
        <v>16083819</v>
      </c>
      <c r="F2792" s="48" t="str">
        <f>"PINELLAS GULF COAST ACADEMY"</f>
        <v>PINELLAS GULF COAST ACADEMY</v>
      </c>
      <c r="G2792" s="47"/>
      <c r="H2792" s="47"/>
      <c r="I2792" s="40"/>
      <c r="J2792" s="40">
        <v>345</v>
      </c>
      <c r="K2792" s="20">
        <v>2014</v>
      </c>
      <c r="L2792" s="21">
        <v>0.57179999999999997</v>
      </c>
      <c r="M2792" s="110">
        <f>IF(L2792="",I2792,(MIN(J2792,(L2792*1.6*J2792))))</f>
        <v>315.6336</v>
      </c>
      <c r="N2792" s="111">
        <f>IF(M2792=0,0,(M2792/J2792))</f>
        <v>0.91488000000000003</v>
      </c>
    </row>
    <row r="2793" spans="2:14">
      <c r="B2793" s="73">
        <v>127804</v>
      </c>
      <c r="C2793" s="23" t="str">
        <f>"PINELLAS"</f>
        <v>PINELLAS</v>
      </c>
      <c r="D2793" s="123">
        <f>SUMIF(B$3:B$3844,B2793,M$3:M$3844)/(SUMIF(B$3:B$3844,B2793,J$3:J$3844))</f>
        <v>0.6210093385794162</v>
      </c>
      <c r="E2793" s="23">
        <v>213293</v>
      </c>
      <c r="F2793" s="46" t="str">
        <f>"PINELLAS JUVENILE DET CENTER"</f>
        <v>PINELLAS JUVENILE DET CENTER</v>
      </c>
      <c r="G2793" s="23"/>
      <c r="H2793" s="23"/>
      <c r="I2793" s="41">
        <v>47</v>
      </c>
      <c r="J2793" s="41">
        <v>93</v>
      </c>
      <c r="K2793" s="20"/>
      <c r="L2793" s="21"/>
      <c r="M2793" s="110">
        <f>IF(L2793="",I2793,(MIN(J2793,(L2793*1.6*J2793))))</f>
        <v>47</v>
      </c>
      <c r="N2793" s="111">
        <f>IF(M2793=0,0,(M2793/J2793))</f>
        <v>0.5053763440860215</v>
      </c>
    </row>
    <row r="2794" spans="2:14">
      <c r="B2794" s="72">
        <v>127804</v>
      </c>
      <c r="C2794" s="47" t="str">
        <f>"PINELLAS"</f>
        <v>PINELLAS</v>
      </c>
      <c r="D2794" s="123">
        <f>SUMIF(B$3:B$3844,B2794,M$3:M$3844)/(SUMIF(B$3:B$3844,B2794,J$3:J$3844))</f>
        <v>0.6210093385794162</v>
      </c>
      <c r="E2794" s="47">
        <v>38023</v>
      </c>
      <c r="F2794" s="48" t="s">
        <v>2279</v>
      </c>
      <c r="G2794" s="47"/>
      <c r="H2794" s="47"/>
      <c r="I2794" s="40"/>
      <c r="J2794" s="40">
        <v>617</v>
      </c>
      <c r="K2794" s="20">
        <v>2014</v>
      </c>
      <c r="L2794" s="21">
        <v>0.73829999999999996</v>
      </c>
      <c r="M2794" s="110">
        <f>IF(L2794="",I2794,(MIN(J2794,(L2794*1.6*J2794))))</f>
        <v>617</v>
      </c>
      <c r="N2794" s="111">
        <f>IF(M2794=0,0,(M2794/J2794))</f>
        <v>1</v>
      </c>
    </row>
    <row r="2795" spans="2:14">
      <c r="B2795" s="73">
        <v>127804</v>
      </c>
      <c r="C2795" s="23" t="str">
        <f>"PINELLAS"</f>
        <v>PINELLAS</v>
      </c>
      <c r="D2795" s="123">
        <f>SUMIF(B$3:B$3844,B2795,M$3:M$3844)/(SUMIF(B$3:B$3844,B2795,J$3:J$3844))</f>
        <v>0.6210093385794162</v>
      </c>
      <c r="E2795" s="23">
        <v>37997</v>
      </c>
      <c r="F2795" s="46" t="str">
        <f>"PINELLAS PARK HIGH SCHOOL"</f>
        <v>PINELLAS PARK HIGH SCHOOL</v>
      </c>
      <c r="G2795" s="23"/>
      <c r="H2795" s="23"/>
      <c r="I2795" s="41">
        <v>1186</v>
      </c>
      <c r="J2795" s="41">
        <v>1985</v>
      </c>
      <c r="K2795" s="20"/>
      <c r="L2795" s="21"/>
      <c r="M2795" s="110">
        <f>IF(L2795="",I2795,(MIN(J2795,(L2795*1.6*J2795))))</f>
        <v>1186</v>
      </c>
      <c r="N2795" s="111">
        <f>IF(M2795=0,0,(M2795/J2795))</f>
        <v>0.59748110831234258</v>
      </c>
    </row>
    <row r="2796" spans="2:14">
      <c r="B2796" s="72">
        <v>127804</v>
      </c>
      <c r="C2796" s="47" t="str">
        <f>"PINELLAS"</f>
        <v>PINELLAS</v>
      </c>
      <c r="D2796" s="123">
        <f>SUMIF(B$3:B$3844,B2796,M$3:M$3844)/(SUMIF(B$3:B$3844,B2796,J$3:J$3844))</f>
        <v>0.6210093385794162</v>
      </c>
      <c r="E2796" s="47">
        <v>38024</v>
      </c>
      <c r="F2796" s="48" t="str">
        <f>"PINELLAS PARK MIDDLE SCHOOL"</f>
        <v>PINELLAS PARK MIDDLE SCHOOL</v>
      </c>
      <c r="G2796" s="47"/>
      <c r="H2796" s="47"/>
      <c r="I2796" s="40"/>
      <c r="J2796" s="40">
        <v>1185</v>
      </c>
      <c r="K2796" s="20">
        <v>2014</v>
      </c>
      <c r="L2796" s="21">
        <v>0.56479999999999997</v>
      </c>
      <c r="M2796" s="110">
        <f>IF(L2796="",I2796,(MIN(J2796,(L2796*1.6*J2796))))</f>
        <v>1070.8608000000002</v>
      </c>
      <c r="N2796" s="111">
        <f>IF(M2796=0,0,(M2796/J2796))</f>
        <v>0.90368000000000015</v>
      </c>
    </row>
    <row r="2797" spans="2:14">
      <c r="B2797" s="73">
        <v>127804</v>
      </c>
      <c r="C2797" s="23" t="str">
        <f>"PINELLAS"</f>
        <v>PINELLAS</v>
      </c>
      <c r="D2797" s="123">
        <f>SUMIF(B$3:B$3844,B2797,M$3:M$3844)/(SUMIF(B$3:B$3844,B2797,J$3:J$3844))</f>
        <v>0.6210093385794162</v>
      </c>
      <c r="E2797" s="23">
        <v>16049673</v>
      </c>
      <c r="F2797" s="46" t="str">
        <f>"PINELLAS SECONDARY SCHOOL"</f>
        <v>PINELLAS SECONDARY SCHOOL</v>
      </c>
      <c r="G2797" s="23"/>
      <c r="H2797" s="23"/>
      <c r="I2797" s="41"/>
      <c r="J2797" s="41">
        <v>101</v>
      </c>
      <c r="K2797" s="20">
        <v>2014</v>
      </c>
      <c r="L2797" s="21">
        <v>0.73370000000000002</v>
      </c>
      <c r="M2797" s="110">
        <f>IF(L2797="",I2797,(MIN(J2797,(L2797*1.6*J2797))))</f>
        <v>101</v>
      </c>
      <c r="N2797" s="111">
        <f>IF(M2797=0,0,(M2797/J2797))</f>
        <v>1</v>
      </c>
    </row>
    <row r="2798" spans="2:14">
      <c r="B2798" s="72">
        <v>127804</v>
      </c>
      <c r="C2798" s="47" t="str">
        <f>"PINELLAS"</f>
        <v>PINELLAS</v>
      </c>
      <c r="D2798" s="123">
        <f>SUMIF(B$3:B$3844,B2798,M$3:M$3844)/(SUMIF(B$3:B$3844,B2798,J$3:J$3844))</f>
        <v>0.6210093385794162</v>
      </c>
      <c r="E2798" s="47">
        <v>16066659</v>
      </c>
      <c r="F2798" s="48" t="s">
        <v>2280</v>
      </c>
      <c r="G2798" s="47"/>
      <c r="H2798" s="47"/>
      <c r="I2798" s="40"/>
      <c r="J2798" s="40">
        <v>0</v>
      </c>
      <c r="K2798" s="20"/>
      <c r="L2798" s="21"/>
      <c r="M2798" s="110">
        <f>IF(L2798="",I2798,(MIN(J2798,(L2798*1.6*J2798))))</f>
        <v>0</v>
      </c>
      <c r="N2798" s="111">
        <f>IF(M2798=0,0,(M2798/J2798))</f>
        <v>0</v>
      </c>
    </row>
    <row r="2799" spans="2:14">
      <c r="B2799" s="73">
        <v>127804</v>
      </c>
      <c r="C2799" s="23" t="str">
        <f>"PINELLAS"</f>
        <v>PINELLAS</v>
      </c>
      <c r="D2799" s="123">
        <f>SUMIF(B$3:B$3844,B2799,M$3:M$3844)/(SUMIF(B$3:B$3844,B2799,J$3:J$3844))</f>
        <v>0.6210093385794162</v>
      </c>
      <c r="E2799" s="23">
        <v>16066663</v>
      </c>
      <c r="F2799" s="46" t="s">
        <v>2281</v>
      </c>
      <c r="G2799" s="23"/>
      <c r="H2799" s="23"/>
      <c r="I2799" s="41"/>
      <c r="J2799" s="41">
        <v>0</v>
      </c>
      <c r="K2799" s="20"/>
      <c r="L2799" s="21"/>
      <c r="M2799" s="110">
        <f>IF(L2799="",I2799,(MIN(J2799,(L2799*1.6*J2799))))</f>
        <v>0</v>
      </c>
      <c r="N2799" s="111">
        <f>IF(M2799=0,0,(M2799/J2799))</f>
        <v>0</v>
      </c>
    </row>
    <row r="2800" spans="2:14">
      <c r="B2800" s="72">
        <v>127804</v>
      </c>
      <c r="C2800" s="47" t="str">
        <f>"PINELLAS"</f>
        <v>PINELLAS</v>
      </c>
      <c r="D2800" s="123">
        <f>SUMIF(B$3:B$3844,B2800,M$3:M$3844)/(SUMIF(B$3:B$3844,B2800,J$3:J$3844))</f>
        <v>0.6210093385794162</v>
      </c>
      <c r="E2800" s="47">
        <v>16084304</v>
      </c>
      <c r="F2800" s="48" t="str">
        <f>"PINELLAS TELESCHOOL"</f>
        <v>PINELLAS TELESCHOOL</v>
      </c>
      <c r="G2800" s="47"/>
      <c r="H2800" s="47"/>
      <c r="I2800" s="40">
        <v>12</v>
      </c>
      <c r="J2800" s="40">
        <v>61</v>
      </c>
      <c r="K2800" s="20"/>
      <c r="L2800" s="21"/>
      <c r="M2800" s="110">
        <f>IF(L2800="",I2800,(MIN(J2800,(L2800*1.6*J2800))))</f>
        <v>12</v>
      </c>
      <c r="N2800" s="111">
        <f>IF(M2800=0,0,(M2800/J2800))</f>
        <v>0.19672131147540983</v>
      </c>
    </row>
    <row r="2801" spans="2:14">
      <c r="B2801" s="73">
        <v>127804</v>
      </c>
      <c r="C2801" s="23" t="str">
        <f>"PINELLAS"</f>
        <v>PINELLAS</v>
      </c>
      <c r="D2801" s="123">
        <f>SUMIF(B$3:B$3844,B2801,M$3:M$3844)/(SUMIF(B$3:B$3844,B2801,J$3:J$3844))</f>
        <v>0.6210093385794162</v>
      </c>
      <c r="E2801" s="23">
        <v>16084305</v>
      </c>
      <c r="F2801" s="46" t="str">
        <f>"PINELLAS VIRTUAL K-12"</f>
        <v>PINELLAS VIRTUAL K-12</v>
      </c>
      <c r="G2801" s="23"/>
      <c r="H2801" s="23"/>
      <c r="I2801" s="41">
        <v>42</v>
      </c>
      <c r="J2801" s="41">
        <v>224</v>
      </c>
      <c r="K2801" s="20"/>
      <c r="L2801" s="21"/>
      <c r="M2801" s="110">
        <f>IF(L2801="",I2801,(MIN(J2801,(L2801*1.6*J2801))))</f>
        <v>42</v>
      </c>
      <c r="N2801" s="111">
        <f>IF(M2801=0,0,(M2801/J2801))</f>
        <v>0.1875</v>
      </c>
    </row>
    <row r="2802" spans="2:14">
      <c r="B2802" s="72">
        <v>127804</v>
      </c>
      <c r="C2802" s="47" t="str">
        <f>"PINELLAS"</f>
        <v>PINELLAS</v>
      </c>
      <c r="D2802" s="123">
        <f>SUMIF(B$3:B$3844,B2802,M$3:M$3844)/(SUMIF(B$3:B$3844,B2802,J$3:J$3844))</f>
        <v>0.6210093385794162</v>
      </c>
      <c r="E2802" s="47">
        <v>37968</v>
      </c>
      <c r="F2802" s="48" t="str">
        <f>"PLUMB ELEMENTARY SCHOOL"</f>
        <v>PLUMB ELEMENTARY SCHOOL</v>
      </c>
      <c r="G2802" s="47"/>
      <c r="H2802" s="47"/>
      <c r="I2802" s="40">
        <v>476</v>
      </c>
      <c r="J2802" s="40">
        <v>807</v>
      </c>
      <c r="K2802" s="20"/>
      <c r="L2802" s="21"/>
      <c r="M2802" s="110">
        <f>IF(L2802="",I2802,(MIN(J2802,(L2802*1.6*J2802))))</f>
        <v>476</v>
      </c>
      <c r="N2802" s="111">
        <f>IF(M2802=0,0,(M2802/J2802))</f>
        <v>0.58983890954151175</v>
      </c>
    </row>
    <row r="2803" spans="2:14">
      <c r="B2803" s="73">
        <v>127804</v>
      </c>
      <c r="C2803" s="23" t="str">
        <f>"PINELLAS"</f>
        <v>PINELLAS</v>
      </c>
      <c r="D2803" s="123">
        <f>SUMIF(B$3:B$3844,B2803,M$3:M$3844)/(SUMIF(B$3:B$3844,B2803,J$3:J$3844))</f>
        <v>0.6210093385794162</v>
      </c>
      <c r="E2803" s="23">
        <v>37949</v>
      </c>
      <c r="F2803" s="46" t="s">
        <v>2136</v>
      </c>
      <c r="G2803" s="23"/>
      <c r="H2803" s="23"/>
      <c r="I2803" s="41"/>
      <c r="J2803" s="41">
        <v>593</v>
      </c>
      <c r="K2803" s="20">
        <v>2014</v>
      </c>
      <c r="L2803" s="21">
        <v>0.7661</v>
      </c>
      <c r="M2803" s="110">
        <f>IF(L2803="",I2803,(MIN(J2803,(L2803*1.6*J2803))))</f>
        <v>593</v>
      </c>
      <c r="N2803" s="111">
        <f>IF(M2803=0,0,(M2803/J2803))</f>
        <v>1</v>
      </c>
    </row>
    <row r="2804" spans="2:14">
      <c r="B2804" s="72">
        <v>127804</v>
      </c>
      <c r="C2804" s="47" t="str">
        <f>"PINELLAS"</f>
        <v>PINELLAS</v>
      </c>
      <c r="D2804" s="123">
        <f>SUMIF(B$3:B$3844,B2804,M$3:M$3844)/(SUMIF(B$3:B$3844,B2804,J$3:J$3844))</f>
        <v>0.6210093385794162</v>
      </c>
      <c r="E2804" s="47">
        <v>38017</v>
      </c>
      <c r="F2804" s="48" t="str">
        <f>"RICHARD L. SANDERS SCHOOL"</f>
        <v>RICHARD L. SANDERS SCHOOL</v>
      </c>
      <c r="G2804" s="47"/>
      <c r="H2804" s="47"/>
      <c r="I2804" s="40"/>
      <c r="J2804" s="40">
        <v>99</v>
      </c>
      <c r="K2804" s="20">
        <v>2014</v>
      </c>
      <c r="L2804" s="21">
        <v>0.74340000000000006</v>
      </c>
      <c r="M2804" s="110">
        <f>IF(L2804="",I2804,(MIN(J2804,(L2804*1.6*J2804))))</f>
        <v>99</v>
      </c>
      <c r="N2804" s="111">
        <f>IF(M2804=0,0,(M2804/J2804))</f>
        <v>1</v>
      </c>
    </row>
    <row r="2805" spans="2:14">
      <c r="B2805" s="73">
        <v>127804</v>
      </c>
      <c r="C2805" s="23" t="str">
        <f>"PINELLAS"</f>
        <v>PINELLAS</v>
      </c>
      <c r="D2805" s="123">
        <f>SUMIF(B$3:B$3844,B2805,M$3:M$3844)/(SUMIF(B$3:B$3844,B2805,J$3:J$3844))</f>
        <v>0.6210093385794162</v>
      </c>
      <c r="E2805" s="23">
        <v>38016</v>
      </c>
      <c r="F2805" s="46" t="str">
        <f>"RIDGECREST ELEMENTARY SCHOOL"</f>
        <v>RIDGECREST ELEMENTARY SCHOOL</v>
      </c>
      <c r="G2805" s="23"/>
      <c r="H2805" s="23"/>
      <c r="I2805" s="41">
        <v>442</v>
      </c>
      <c r="J2805" s="41">
        <v>828</v>
      </c>
      <c r="K2805" s="20"/>
      <c r="L2805" s="21"/>
      <c r="M2805" s="110">
        <f>IF(L2805="",I2805,(MIN(J2805,(L2805*1.6*J2805))))</f>
        <v>442</v>
      </c>
      <c r="N2805" s="111">
        <f>IF(M2805=0,0,(M2805/J2805))</f>
        <v>0.53381642512077299</v>
      </c>
    </row>
    <row r="2806" spans="2:14">
      <c r="B2806" s="72">
        <v>127804</v>
      </c>
      <c r="C2806" s="47" t="str">
        <f>"PINELLAS"</f>
        <v>PINELLAS</v>
      </c>
      <c r="D2806" s="123">
        <f>SUMIF(B$3:B$3844,B2806,M$3:M$3844)/(SUMIF(B$3:B$3844,B2806,J$3:J$3844))</f>
        <v>0.6210093385794162</v>
      </c>
      <c r="E2806" s="47">
        <v>16070282</v>
      </c>
      <c r="F2806" s="48" t="str">
        <f>"RIO VISTA ELEMENTARY SCHOOL"</f>
        <v>RIO VISTA ELEMENTARY SCHOOL</v>
      </c>
      <c r="G2806" s="47"/>
      <c r="H2806" s="47"/>
      <c r="I2806" s="40"/>
      <c r="J2806" s="40">
        <v>0</v>
      </c>
      <c r="K2806" s="20"/>
      <c r="L2806" s="21"/>
      <c r="M2806" s="110">
        <f>IF(L2806="",I2806,(MIN(J2806,(L2806*1.6*J2806))))</f>
        <v>0</v>
      </c>
      <c r="N2806" s="111">
        <f>IF(M2806=0,0,(M2806/J2806))</f>
        <v>0</v>
      </c>
    </row>
    <row r="2807" spans="2:14">
      <c r="B2807" s="73">
        <v>127804</v>
      </c>
      <c r="C2807" s="23" t="str">
        <f>"PINELLAS"</f>
        <v>PINELLAS</v>
      </c>
      <c r="D2807" s="123">
        <f>SUMIF(B$3:B$3844,B2807,M$3:M$3844)/(SUMIF(B$3:B$3844,B2807,J$3:J$3844))</f>
        <v>0.6210093385794162</v>
      </c>
      <c r="E2807" s="23">
        <v>38712</v>
      </c>
      <c r="F2807" s="46" t="s">
        <v>2282</v>
      </c>
      <c r="G2807" s="23"/>
      <c r="H2807" s="23"/>
      <c r="I2807" s="41">
        <v>268</v>
      </c>
      <c r="J2807" s="41">
        <v>616</v>
      </c>
      <c r="K2807" s="20"/>
      <c r="L2807" s="21"/>
      <c r="M2807" s="110">
        <f>IF(L2807="",I2807,(MIN(J2807,(L2807*1.6*J2807))))</f>
        <v>268</v>
      </c>
      <c r="N2807" s="111">
        <f>IF(M2807=0,0,(M2807/J2807))</f>
        <v>0.43506493506493504</v>
      </c>
    </row>
    <row r="2808" spans="2:14">
      <c r="B2808" s="72">
        <v>127804</v>
      </c>
      <c r="C2808" s="47" t="str">
        <f>"PINELLAS"</f>
        <v>PINELLAS</v>
      </c>
      <c r="D2808" s="123">
        <f>SUMIF(B$3:B$3844,B2808,M$3:M$3844)/(SUMIF(B$3:B$3844,B2808,J$3:J$3844))</f>
        <v>0.6210093385794162</v>
      </c>
      <c r="E2808" s="47">
        <v>38710</v>
      </c>
      <c r="F2808" s="48" t="str">
        <f>"SAFETY HARBOR MIDDLE SCHOOL"</f>
        <v>SAFETY HARBOR MIDDLE SCHOOL</v>
      </c>
      <c r="G2808" s="47"/>
      <c r="H2808" s="47"/>
      <c r="I2808" s="40">
        <v>654</v>
      </c>
      <c r="J2808" s="40">
        <v>1241</v>
      </c>
      <c r="K2808" s="20"/>
      <c r="L2808" s="21"/>
      <c r="M2808" s="110">
        <f>IF(L2808="",I2808,(MIN(J2808,(L2808*1.6*J2808))))</f>
        <v>654</v>
      </c>
      <c r="N2808" s="111">
        <f>IF(M2808=0,0,(M2808/J2808))</f>
        <v>0.52699435938759065</v>
      </c>
    </row>
    <row r="2809" spans="2:14">
      <c r="B2809" s="73">
        <v>127804</v>
      </c>
      <c r="C2809" s="23" t="str">
        <f>"PINELLAS"</f>
        <v>PINELLAS</v>
      </c>
      <c r="D2809" s="123">
        <f>SUMIF(B$3:B$3844,B2809,M$3:M$3844)/(SUMIF(B$3:B$3844,B2809,J$3:J$3844))</f>
        <v>0.6210093385794162</v>
      </c>
      <c r="E2809" s="23">
        <v>38713</v>
      </c>
      <c r="F2809" s="46" t="str">
        <f>"SAN JOSE ELEMENTARY SCHOOL"</f>
        <v>SAN JOSE ELEMENTARY SCHOOL</v>
      </c>
      <c r="G2809" s="23"/>
      <c r="H2809" s="23"/>
      <c r="I2809" s="41">
        <v>277</v>
      </c>
      <c r="J2809" s="41">
        <v>425</v>
      </c>
      <c r="K2809" s="20"/>
      <c r="L2809" s="21"/>
      <c r="M2809" s="110">
        <f>IF(L2809="",I2809,(MIN(J2809,(L2809*1.6*J2809))))</f>
        <v>277</v>
      </c>
      <c r="N2809" s="111">
        <f>IF(M2809=0,0,(M2809/J2809))</f>
        <v>0.65176470588235291</v>
      </c>
    </row>
    <row r="2810" spans="2:14">
      <c r="B2810" s="72">
        <v>127804</v>
      </c>
      <c r="C2810" s="47" t="str">
        <f>"PINELLAS"</f>
        <v>PINELLAS</v>
      </c>
      <c r="D2810" s="123">
        <f>SUMIF(B$3:B$3844,B2810,M$3:M$3844)/(SUMIF(B$3:B$3844,B2810,J$3:J$3844))</f>
        <v>0.6210093385794162</v>
      </c>
      <c r="E2810" s="47">
        <v>37941</v>
      </c>
      <c r="F2810" s="48" t="str">
        <f>"SANDY LANE ELEMENTARY SCHOOL"</f>
        <v>SANDY LANE ELEMENTARY SCHOOL</v>
      </c>
      <c r="G2810" s="47"/>
      <c r="H2810" s="47"/>
      <c r="I2810" s="40"/>
      <c r="J2810" s="40">
        <v>442</v>
      </c>
      <c r="K2810" s="20">
        <v>2014</v>
      </c>
      <c r="L2810" s="21">
        <v>0.82189999999999996</v>
      </c>
      <c r="M2810" s="110">
        <f>IF(L2810="",I2810,(MIN(J2810,(L2810*1.6*J2810))))</f>
        <v>442</v>
      </c>
      <c r="N2810" s="111">
        <f>IF(M2810=0,0,(M2810/J2810))</f>
        <v>1</v>
      </c>
    </row>
    <row r="2811" spans="2:14">
      <c r="B2811" s="73">
        <v>127804</v>
      </c>
      <c r="C2811" s="23" t="str">
        <f>"PINELLAS"</f>
        <v>PINELLAS</v>
      </c>
      <c r="D2811" s="123">
        <f>SUMIF(B$3:B$3844,B2811,M$3:M$3844)/(SUMIF(B$3:B$3844,B2811,J$3:J$3844))</f>
        <v>0.6210093385794162</v>
      </c>
      <c r="E2811" s="23">
        <v>37854</v>
      </c>
      <c r="F2811" s="46" t="s">
        <v>2283</v>
      </c>
      <c r="G2811" s="23"/>
      <c r="H2811" s="23"/>
      <c r="I2811" s="41">
        <v>485</v>
      </c>
      <c r="J2811" s="41">
        <v>708</v>
      </c>
      <c r="K2811" s="20"/>
      <c r="L2811" s="21"/>
      <c r="M2811" s="110">
        <f>IF(L2811="",I2811,(MIN(J2811,(L2811*1.6*J2811))))</f>
        <v>485</v>
      </c>
      <c r="N2811" s="111">
        <f>IF(M2811=0,0,(M2811/J2811))</f>
        <v>0.68502824858757061</v>
      </c>
    </row>
    <row r="2812" spans="2:14">
      <c r="B2812" s="72">
        <v>127804</v>
      </c>
      <c r="C2812" s="47" t="str">
        <f>"PINELLAS"</f>
        <v>PINELLAS</v>
      </c>
      <c r="D2812" s="123">
        <f>SUMIF(B$3:B$3844,B2812,M$3:M$3844)/(SUMIF(B$3:B$3844,B2812,J$3:J$3844))</f>
        <v>0.6210093385794162</v>
      </c>
      <c r="E2812" s="47">
        <v>37995</v>
      </c>
      <c r="F2812" s="48" t="str">
        <f>"SEMINOLE ELEMENTARY SCHOOL"</f>
        <v>SEMINOLE ELEMENTARY SCHOOL</v>
      </c>
      <c r="G2812" s="47"/>
      <c r="H2812" s="47"/>
      <c r="I2812" s="40">
        <v>368</v>
      </c>
      <c r="J2812" s="40">
        <v>602</v>
      </c>
      <c r="K2812" s="20"/>
      <c r="L2812" s="21"/>
      <c r="M2812" s="110">
        <f>IF(L2812="",I2812,(MIN(J2812,(L2812*1.6*J2812))))</f>
        <v>368</v>
      </c>
      <c r="N2812" s="111">
        <f>IF(M2812=0,0,(M2812/J2812))</f>
        <v>0.61129568106312293</v>
      </c>
    </row>
    <row r="2813" spans="2:14">
      <c r="B2813" s="73">
        <v>127804</v>
      </c>
      <c r="C2813" s="23" t="str">
        <f>"PINELLAS"</f>
        <v>PINELLAS</v>
      </c>
      <c r="D2813" s="123">
        <f>SUMIF(B$3:B$3844,B2813,M$3:M$3844)/(SUMIF(B$3:B$3844,B2813,J$3:J$3844))</f>
        <v>0.6210093385794162</v>
      </c>
      <c r="E2813" s="23">
        <v>38011</v>
      </c>
      <c r="F2813" s="46" t="str">
        <f>"SEMINOLE HIGH SCHOOL"</f>
        <v>SEMINOLE HIGH SCHOOL</v>
      </c>
      <c r="G2813" s="23"/>
      <c r="H2813" s="23"/>
      <c r="I2813" s="41">
        <v>699</v>
      </c>
      <c r="J2813" s="41">
        <v>2089</v>
      </c>
      <c r="K2813" s="20"/>
      <c r="L2813" s="21"/>
      <c r="M2813" s="110">
        <f>IF(L2813="",I2813,(MIN(J2813,(L2813*1.6*J2813))))</f>
        <v>699</v>
      </c>
      <c r="N2813" s="111">
        <f>IF(M2813=0,0,(M2813/J2813))</f>
        <v>0.33460986117759695</v>
      </c>
    </row>
    <row r="2814" spans="2:14">
      <c r="B2814" s="72">
        <v>127804</v>
      </c>
      <c r="C2814" s="47" t="str">
        <f>"PINELLAS"</f>
        <v>PINELLAS</v>
      </c>
      <c r="D2814" s="123">
        <f>SUMIF(B$3:B$3844,B2814,M$3:M$3844)/(SUMIF(B$3:B$3844,B2814,J$3:J$3844))</f>
        <v>0.6210093385794162</v>
      </c>
      <c r="E2814" s="47">
        <v>38007</v>
      </c>
      <c r="F2814" s="48" t="str">
        <f>"SEMINOLE MIDDLE SCHOOL"</f>
        <v>SEMINOLE MIDDLE SCHOOL</v>
      </c>
      <c r="G2814" s="47"/>
      <c r="H2814" s="47"/>
      <c r="I2814" s="40">
        <v>508</v>
      </c>
      <c r="J2814" s="40">
        <v>1124</v>
      </c>
      <c r="K2814" s="20"/>
      <c r="L2814" s="21"/>
      <c r="M2814" s="110">
        <f>IF(L2814="",I2814,(MIN(J2814,(L2814*1.6*J2814))))</f>
        <v>508</v>
      </c>
      <c r="N2814" s="111">
        <f>IF(M2814=0,0,(M2814/J2814))</f>
        <v>0.45195729537366547</v>
      </c>
    </row>
    <row r="2815" spans="2:14">
      <c r="B2815" s="73">
        <v>127804</v>
      </c>
      <c r="C2815" s="23" t="str">
        <f>"PINELLAS"</f>
        <v>PINELLAS</v>
      </c>
      <c r="D2815" s="123">
        <f>SUMIF(B$3:B$3844,B2815,M$3:M$3844)/(SUMIF(B$3:B$3844,B2815,J$3:J$3844))</f>
        <v>0.6210093385794162</v>
      </c>
      <c r="E2815" s="23">
        <v>37896</v>
      </c>
      <c r="F2815" s="46" t="str">
        <f>"SEVENTY-FOURTH ST. ELEMENTARY"</f>
        <v>SEVENTY-FOURTH ST. ELEMENTARY</v>
      </c>
      <c r="G2815" s="23"/>
      <c r="H2815" s="23"/>
      <c r="I2815" s="41"/>
      <c r="J2815" s="41">
        <v>535</v>
      </c>
      <c r="K2815" s="20">
        <v>2014</v>
      </c>
      <c r="L2815" s="21">
        <v>0.74029999999999996</v>
      </c>
      <c r="M2815" s="110">
        <f>IF(L2815="",I2815,(MIN(J2815,(L2815*1.6*J2815))))</f>
        <v>535</v>
      </c>
      <c r="N2815" s="111">
        <f>IF(M2815=0,0,(M2815/J2815))</f>
        <v>1</v>
      </c>
    </row>
    <row r="2816" spans="2:14">
      <c r="B2816" s="72">
        <v>127804</v>
      </c>
      <c r="C2816" s="47" t="str">
        <f>"PINELLAS"</f>
        <v>PINELLAS</v>
      </c>
      <c r="D2816" s="123">
        <f>SUMIF(B$3:B$3844,B2816,M$3:M$3844)/(SUMIF(B$3:B$3844,B2816,J$3:J$3844))</f>
        <v>0.6210093385794162</v>
      </c>
      <c r="E2816" s="47">
        <v>37853</v>
      </c>
      <c r="F2816" s="48" t="str">
        <f>"SHORE ACRES ELEMENTARY SCHOOL"</f>
        <v>SHORE ACRES ELEMENTARY SCHOOL</v>
      </c>
      <c r="G2816" s="47"/>
      <c r="H2816" s="47"/>
      <c r="I2816" s="40">
        <v>364</v>
      </c>
      <c r="J2816" s="40">
        <v>672</v>
      </c>
      <c r="K2816" s="20"/>
      <c r="L2816" s="21"/>
      <c r="M2816" s="110">
        <f>IF(L2816="",I2816,(MIN(J2816,(L2816*1.6*J2816))))</f>
        <v>364</v>
      </c>
      <c r="N2816" s="111">
        <f>IF(M2816=0,0,(M2816/J2816))</f>
        <v>0.54166666666666663</v>
      </c>
    </row>
    <row r="2817" spans="2:14">
      <c r="B2817" s="73">
        <v>127804</v>
      </c>
      <c r="C2817" s="23" t="str">
        <f>"PINELLAS"</f>
        <v>PINELLAS</v>
      </c>
      <c r="D2817" s="123">
        <f>SUMIF(B$3:B$3844,B2817,M$3:M$3844)/(SUMIF(B$3:B$3844,B2817,J$3:J$3844))</f>
        <v>0.6210093385794162</v>
      </c>
      <c r="E2817" s="23">
        <v>37982</v>
      </c>
      <c r="F2817" s="46" t="str">
        <f>"SKYCREST ELEMENTARY SCHOOL"</f>
        <v>SKYCREST ELEMENTARY SCHOOL</v>
      </c>
      <c r="G2817" s="23"/>
      <c r="H2817" s="23"/>
      <c r="I2817" s="41"/>
      <c r="J2817" s="41">
        <v>647</v>
      </c>
      <c r="K2817" s="20">
        <v>2014</v>
      </c>
      <c r="L2817" s="21">
        <v>0.73360000000000003</v>
      </c>
      <c r="M2817" s="110">
        <f>IF(L2817="",I2817,(MIN(J2817,(L2817*1.6*J2817))))</f>
        <v>647</v>
      </c>
      <c r="N2817" s="111">
        <f>IF(M2817=0,0,(M2817/J2817))</f>
        <v>1</v>
      </c>
    </row>
    <row r="2818" spans="2:14">
      <c r="B2818" s="72">
        <v>127804</v>
      </c>
      <c r="C2818" s="47" t="str">
        <f>"PINELLAS"</f>
        <v>PINELLAS</v>
      </c>
      <c r="D2818" s="123">
        <f>SUMIF(B$3:B$3844,B2818,M$3:M$3844)/(SUMIF(B$3:B$3844,B2818,J$3:J$3844))</f>
        <v>0.6210093385794162</v>
      </c>
      <c r="E2818" s="47">
        <v>38032</v>
      </c>
      <c r="F2818" s="48" t="str">
        <f>"SKYVIEW ELEMENTARY SCHOOL"</f>
        <v>SKYVIEW ELEMENTARY SCHOOL</v>
      </c>
      <c r="G2818" s="47"/>
      <c r="H2818" s="47"/>
      <c r="I2818" s="40"/>
      <c r="J2818" s="40">
        <v>676</v>
      </c>
      <c r="K2818" s="20">
        <v>2014</v>
      </c>
      <c r="L2818" s="21">
        <v>0.69519999999999993</v>
      </c>
      <c r="M2818" s="110">
        <f>IF(L2818="",I2818,(MIN(J2818,(L2818*1.6*J2818))))</f>
        <v>676</v>
      </c>
      <c r="N2818" s="111">
        <f>IF(M2818=0,0,(M2818/J2818))</f>
        <v>1</v>
      </c>
    </row>
    <row r="2819" spans="2:14">
      <c r="B2819" s="73">
        <v>127804</v>
      </c>
      <c r="C2819" s="23" t="str">
        <f>"PINELLAS"</f>
        <v>PINELLAS</v>
      </c>
      <c r="D2819" s="123">
        <f>SUMIF(B$3:B$3844,B2819,M$3:M$3844)/(SUMIF(B$3:B$3844,B2819,J$3:J$3844))</f>
        <v>0.6210093385794162</v>
      </c>
      <c r="E2819" s="23">
        <v>16066615</v>
      </c>
      <c r="F2819" s="46" t="str">
        <f>"SOUTH WARD ELEMENTARY SCHOOL"</f>
        <v>SOUTH WARD ELEMENTARY SCHOOL</v>
      </c>
      <c r="G2819" s="23"/>
      <c r="H2819" s="23"/>
      <c r="I2819" s="41"/>
      <c r="J2819" s="41">
        <v>0</v>
      </c>
      <c r="K2819" s="20"/>
      <c r="L2819" s="21"/>
      <c r="M2819" s="110">
        <f>IF(L2819="",I2819,(MIN(J2819,(L2819*1.6*J2819))))</f>
        <v>0</v>
      </c>
      <c r="N2819" s="111">
        <f>IF(M2819=0,0,(M2819/J2819))</f>
        <v>0</v>
      </c>
    </row>
    <row r="2820" spans="2:14">
      <c r="B2820" s="72">
        <v>127804</v>
      </c>
      <c r="C2820" s="47" t="str">
        <f>"PINELLAS"</f>
        <v>PINELLAS</v>
      </c>
      <c r="D2820" s="123">
        <f>SUMIF(B$3:B$3844,B2820,M$3:M$3844)/(SUMIF(B$3:B$3844,B2820,J$3:J$3844))</f>
        <v>0.6210093385794162</v>
      </c>
      <c r="E2820" s="47">
        <v>37999</v>
      </c>
      <c r="F2820" s="48" t="str">
        <f>"SOUTHERN OAK ELEMENTARY SCHOOL"</f>
        <v>SOUTHERN OAK ELEMENTARY SCHOOL</v>
      </c>
      <c r="G2820" s="47"/>
      <c r="H2820" s="47"/>
      <c r="I2820" s="40"/>
      <c r="J2820" s="40">
        <v>682</v>
      </c>
      <c r="K2820" s="20">
        <v>2014</v>
      </c>
      <c r="L2820" s="21">
        <v>0.55649999999999999</v>
      </c>
      <c r="M2820" s="110">
        <f>IF(L2820="",I2820,(MIN(J2820,(L2820*1.6*J2820))))</f>
        <v>607.25280000000009</v>
      </c>
      <c r="N2820" s="111">
        <f>IF(M2820=0,0,(M2820/J2820))</f>
        <v>0.89040000000000019</v>
      </c>
    </row>
    <row r="2821" spans="2:14">
      <c r="B2821" s="73">
        <v>127804</v>
      </c>
      <c r="C2821" s="23" t="str">
        <f>"PINELLAS"</f>
        <v>PINELLAS</v>
      </c>
      <c r="D2821" s="123">
        <f>SUMIF(B$3:B$3844,B2821,M$3:M$3844)/(SUMIF(B$3:B$3844,B2821,J$3:J$3844))</f>
        <v>0.6210093385794162</v>
      </c>
      <c r="E2821" s="23">
        <v>16066609</v>
      </c>
      <c r="F2821" s="46" t="str">
        <f>"SOUTHSIDE FUNDAMENTAL MIDDLE"</f>
        <v>SOUTHSIDE FUNDAMENTAL MIDDLE</v>
      </c>
      <c r="G2821" s="23"/>
      <c r="H2821" s="23"/>
      <c r="I2821" s="41"/>
      <c r="J2821" s="41">
        <v>0</v>
      </c>
      <c r="K2821" s="20"/>
      <c r="L2821" s="21"/>
      <c r="M2821" s="110">
        <f>IF(L2821="",I2821,(MIN(J2821,(L2821*1.6*J2821))))</f>
        <v>0</v>
      </c>
      <c r="N2821" s="111">
        <f>IF(M2821=0,0,(M2821/J2821))</f>
        <v>0</v>
      </c>
    </row>
    <row r="2822" spans="2:14">
      <c r="B2822" s="72">
        <v>127804</v>
      </c>
      <c r="C2822" s="47" t="str">
        <f>"PINELLAS"</f>
        <v>PINELLAS</v>
      </c>
      <c r="D2822" s="123">
        <f>SUMIF(B$3:B$3844,B2822,M$3:M$3844)/(SUMIF(B$3:B$3844,B2822,J$3:J$3844))</f>
        <v>0.6210093385794162</v>
      </c>
      <c r="E2822" s="47">
        <v>37925</v>
      </c>
      <c r="F2822" s="48" t="str">
        <f>"ST. PETERSBURG HIGH SCHOOL"</f>
        <v>ST. PETERSBURG HIGH SCHOOL</v>
      </c>
      <c r="G2822" s="47"/>
      <c r="H2822" s="47"/>
      <c r="I2822" s="40">
        <v>838</v>
      </c>
      <c r="J2822" s="40">
        <v>2060</v>
      </c>
      <c r="K2822" s="20"/>
      <c r="L2822" s="21"/>
      <c r="M2822" s="110">
        <f>IF(L2822="",I2822,(MIN(J2822,(L2822*1.6*J2822))))</f>
        <v>838</v>
      </c>
      <c r="N2822" s="111">
        <f>IF(M2822=0,0,(M2822/J2822))</f>
        <v>0.40679611650485437</v>
      </c>
    </row>
    <row r="2823" spans="2:14">
      <c r="B2823" s="73">
        <v>127804</v>
      </c>
      <c r="C2823" s="23" t="str">
        <f>"PINELLAS"</f>
        <v>PINELLAS</v>
      </c>
      <c r="D2823" s="123">
        <f>SUMIF(B$3:B$3844,B2823,M$3:M$3844)/(SUMIF(B$3:B$3844,B2823,J$3:J$3844))</f>
        <v>0.6210093385794162</v>
      </c>
      <c r="E2823" s="23">
        <v>38014</v>
      </c>
      <c r="F2823" s="46" t="str">
        <f>"STARKEY ELEMENTARY SCHOOL"</f>
        <v>STARKEY ELEMENTARY SCHOOL</v>
      </c>
      <c r="G2823" s="23"/>
      <c r="H2823" s="23"/>
      <c r="I2823" s="41"/>
      <c r="J2823" s="41">
        <v>632</v>
      </c>
      <c r="K2823" s="20">
        <v>2014</v>
      </c>
      <c r="L2823" s="21">
        <v>0.51129999999999998</v>
      </c>
      <c r="M2823" s="110">
        <f>IF(L2823="",I2823,(MIN(J2823,(L2823*1.6*J2823))))</f>
        <v>517.02656000000002</v>
      </c>
      <c r="N2823" s="111">
        <f>IF(M2823=0,0,(M2823/J2823))</f>
        <v>0.81808000000000003</v>
      </c>
    </row>
    <row r="2824" spans="2:14">
      <c r="B2824" s="72">
        <v>127804</v>
      </c>
      <c r="C2824" s="47" t="str">
        <f>"PINELLAS"</f>
        <v>PINELLAS</v>
      </c>
      <c r="D2824" s="123">
        <f>SUMIF(B$3:B$3844,B2824,M$3:M$3844)/(SUMIF(B$3:B$3844,B2824,J$3:J$3844))</f>
        <v>0.6210093385794162</v>
      </c>
      <c r="E2824" s="47">
        <v>38701</v>
      </c>
      <c r="F2824" s="48" t="str">
        <f>"SUNSET HILLS ELEMENTARY SCHOOL"</f>
        <v>SUNSET HILLS ELEMENTARY SCHOOL</v>
      </c>
      <c r="G2824" s="47"/>
      <c r="H2824" s="47"/>
      <c r="I2824" s="40">
        <v>249</v>
      </c>
      <c r="J2824" s="40">
        <v>534</v>
      </c>
      <c r="K2824" s="20"/>
      <c r="L2824" s="21"/>
      <c r="M2824" s="110">
        <f>IF(L2824="",I2824,(MIN(J2824,(L2824*1.6*J2824))))</f>
        <v>249</v>
      </c>
      <c r="N2824" s="111">
        <f>IF(M2824=0,0,(M2824/J2824))</f>
        <v>0.46629213483146065</v>
      </c>
    </row>
    <row r="2825" spans="2:14">
      <c r="B2825" s="73">
        <v>127804</v>
      </c>
      <c r="C2825" s="23" t="str">
        <f>"PINELLAS"</f>
        <v>PINELLAS</v>
      </c>
      <c r="D2825" s="123">
        <f>SUMIF(B$3:B$3844,B2825,M$3:M$3844)/(SUMIF(B$3:B$3844,B2825,J$3:J$3844))</f>
        <v>0.6210093385794162</v>
      </c>
      <c r="E2825" s="23">
        <v>38680</v>
      </c>
      <c r="F2825" s="46" t="str">
        <f>"SUTHERLAND ELEMENTARY SCHOOL"</f>
        <v>SUTHERLAND ELEMENTARY SCHOOL</v>
      </c>
      <c r="G2825" s="23"/>
      <c r="H2825" s="23"/>
      <c r="I2825" s="41">
        <v>264</v>
      </c>
      <c r="J2825" s="41">
        <v>641</v>
      </c>
      <c r="K2825" s="20"/>
      <c r="L2825" s="21"/>
      <c r="M2825" s="110">
        <f>IF(L2825="",I2825,(MIN(J2825,(L2825*1.6*J2825))))</f>
        <v>264</v>
      </c>
      <c r="N2825" s="111">
        <f>IF(M2825=0,0,(M2825/J2825))</f>
        <v>0.41185647425897037</v>
      </c>
    </row>
    <row r="2826" spans="2:14">
      <c r="B2826" s="72">
        <v>127804</v>
      </c>
      <c r="C2826" s="47" t="str">
        <f>"PINELLAS"</f>
        <v>PINELLAS</v>
      </c>
      <c r="D2826" s="123">
        <f>SUMIF(B$3:B$3844,B2826,M$3:M$3844)/(SUMIF(B$3:B$3844,B2826,J$3:J$3844))</f>
        <v>0.6210093385794162</v>
      </c>
      <c r="E2826" s="47">
        <v>38702</v>
      </c>
      <c r="F2826" s="48" t="s">
        <v>2284</v>
      </c>
      <c r="G2826" s="47"/>
      <c r="H2826" s="47"/>
      <c r="I2826" s="40"/>
      <c r="J2826" s="40">
        <v>657</v>
      </c>
      <c r="K2826" s="20">
        <v>2014</v>
      </c>
      <c r="L2826" s="21">
        <v>0.69569999999999999</v>
      </c>
      <c r="M2826" s="110">
        <f>IF(L2826="",I2826,(MIN(J2826,(L2826*1.6*J2826))))</f>
        <v>657</v>
      </c>
      <c r="N2826" s="111">
        <f>IF(M2826=0,0,(M2826/J2826))</f>
        <v>1</v>
      </c>
    </row>
    <row r="2827" spans="2:14">
      <c r="B2827" s="73">
        <v>127804</v>
      </c>
      <c r="C2827" s="23" t="str">
        <f>"PINELLAS"</f>
        <v>PINELLAS</v>
      </c>
      <c r="D2827" s="123">
        <f>SUMIF(B$3:B$3844,B2827,M$3:M$3844)/(SUMIF(B$3:B$3844,B2827,J$3:J$3844))</f>
        <v>0.6210093385794162</v>
      </c>
      <c r="E2827" s="23">
        <v>38703</v>
      </c>
      <c r="F2827" s="46" t="str">
        <f>"TARPON SPRINGS FUNDAMENTAL ELE"</f>
        <v>TARPON SPRINGS FUNDAMENTAL ELE</v>
      </c>
      <c r="G2827" s="23"/>
      <c r="H2827" s="23"/>
      <c r="I2827" s="41">
        <v>36</v>
      </c>
      <c r="J2827" s="41">
        <v>272</v>
      </c>
      <c r="K2827" s="20"/>
      <c r="L2827" s="21"/>
      <c r="M2827" s="110">
        <f>IF(L2827="",I2827,(MIN(J2827,(L2827*1.6*J2827))))</f>
        <v>36</v>
      </c>
      <c r="N2827" s="111">
        <f>IF(M2827=0,0,(M2827/J2827))</f>
        <v>0.13235294117647059</v>
      </c>
    </row>
    <row r="2828" spans="2:14">
      <c r="B2828" s="72">
        <v>127804</v>
      </c>
      <c r="C2828" s="47" t="str">
        <f>"PINELLAS"</f>
        <v>PINELLAS</v>
      </c>
      <c r="D2828" s="123">
        <f>SUMIF(B$3:B$3844,B2828,M$3:M$3844)/(SUMIF(B$3:B$3844,B2828,J$3:J$3844))</f>
        <v>0.6210093385794162</v>
      </c>
      <c r="E2828" s="47">
        <v>38700</v>
      </c>
      <c r="F2828" s="48" t="s">
        <v>2285</v>
      </c>
      <c r="G2828" s="47"/>
      <c r="H2828" s="47"/>
      <c r="I2828" s="40">
        <v>622</v>
      </c>
      <c r="J2828" s="40">
        <v>1384</v>
      </c>
      <c r="K2828" s="20"/>
      <c r="L2828" s="21"/>
      <c r="M2828" s="110">
        <f>IF(L2828="",I2828,(MIN(J2828,(L2828*1.6*J2828))))</f>
        <v>622</v>
      </c>
      <c r="N2828" s="111">
        <f>IF(M2828=0,0,(M2828/J2828))</f>
        <v>0.44942196531791906</v>
      </c>
    </row>
    <row r="2829" spans="2:14">
      <c r="B2829" s="73">
        <v>127804</v>
      </c>
      <c r="C2829" s="23" t="str">
        <f>"PINELLAS"</f>
        <v>PINELLAS</v>
      </c>
      <c r="D2829" s="123">
        <f>SUMIF(B$3:B$3844,B2829,M$3:M$3844)/(SUMIF(B$3:B$3844,B2829,J$3:J$3844))</f>
        <v>0.6210093385794162</v>
      </c>
      <c r="E2829" s="23">
        <v>38698</v>
      </c>
      <c r="F2829" s="46" t="str">
        <f>"TARPON SPRINGS MIDDLE SCHOOL"</f>
        <v>TARPON SPRINGS MIDDLE SCHOOL</v>
      </c>
      <c r="G2829" s="23"/>
      <c r="H2829" s="23"/>
      <c r="I2829" s="41">
        <v>420</v>
      </c>
      <c r="J2829" s="41">
        <v>870</v>
      </c>
      <c r="K2829" s="20"/>
      <c r="L2829" s="21"/>
      <c r="M2829" s="110">
        <f>IF(L2829="",I2829,(MIN(J2829,(L2829*1.6*J2829))))</f>
        <v>420</v>
      </c>
      <c r="N2829" s="111">
        <f>IF(M2829=0,0,(M2829/J2829))</f>
        <v>0.48275862068965519</v>
      </c>
    </row>
    <row r="2830" spans="2:14">
      <c r="B2830" s="72">
        <v>127804</v>
      </c>
      <c r="C2830" s="47" t="str">
        <f>"PINELLAS"</f>
        <v>PINELLAS</v>
      </c>
      <c r="D2830" s="123">
        <f>SUMIF(B$3:B$3844,B2830,M$3:M$3844)/(SUMIF(B$3:B$3844,B2830,J$3:J$3844))</f>
        <v>0.6210093385794162</v>
      </c>
      <c r="E2830" s="47">
        <v>16023233</v>
      </c>
      <c r="F2830" s="48" t="str">
        <f>"THURGOOD MARSHALL FUNDAMENTAL"</f>
        <v>THURGOOD MARSHALL FUNDAMENTAL</v>
      </c>
      <c r="G2830" s="47"/>
      <c r="H2830" s="47"/>
      <c r="I2830" s="40">
        <v>364</v>
      </c>
      <c r="J2830" s="40">
        <v>895</v>
      </c>
      <c r="K2830" s="20"/>
      <c r="L2830" s="21"/>
      <c r="M2830" s="110">
        <f>IF(L2830="",I2830,(MIN(J2830,(L2830*1.6*J2830))))</f>
        <v>364</v>
      </c>
      <c r="N2830" s="111">
        <f>IF(M2830=0,0,(M2830/J2830))</f>
        <v>0.40670391061452515</v>
      </c>
    </row>
    <row r="2831" spans="2:14">
      <c r="B2831" s="73">
        <v>127804</v>
      </c>
      <c r="C2831" s="23" t="str">
        <f>"PINELLAS"</f>
        <v>PINELLAS</v>
      </c>
      <c r="D2831" s="123">
        <f>SUMIF(B$3:B$3844,B2831,M$3:M$3844)/(SUMIF(B$3:B$3844,B2831,J$3:J$3844))</f>
        <v>0.6210093385794162</v>
      </c>
      <c r="E2831" s="23">
        <v>37850</v>
      </c>
      <c r="F2831" s="46" t="s">
        <v>2286</v>
      </c>
      <c r="G2831" s="23"/>
      <c r="H2831" s="23"/>
      <c r="I2831" s="41"/>
      <c r="J2831" s="41">
        <v>0</v>
      </c>
      <c r="K2831" s="20"/>
      <c r="L2831" s="21"/>
      <c r="M2831" s="110">
        <f>IF(L2831="",I2831,(MIN(J2831,(L2831*1.6*J2831))))</f>
        <v>0</v>
      </c>
      <c r="N2831" s="111">
        <f>IF(M2831=0,0,(M2831/J2831))</f>
        <v>0</v>
      </c>
    </row>
    <row r="2832" spans="2:14">
      <c r="B2832" s="72">
        <v>127804</v>
      </c>
      <c r="C2832" s="47" t="str">
        <f>"PINELLAS"</f>
        <v>PINELLAS</v>
      </c>
      <c r="D2832" s="123">
        <f>SUMIF(B$3:B$3844,B2832,M$3:M$3844)/(SUMIF(B$3:B$3844,B2832,J$3:J$3844))</f>
        <v>0.6210093385794162</v>
      </c>
      <c r="E2832" s="47">
        <v>37900</v>
      </c>
      <c r="F2832" s="48" t="str">
        <f>"TYRONE MIDDLE SCHOOL"</f>
        <v>TYRONE MIDDLE SCHOOL</v>
      </c>
      <c r="G2832" s="47"/>
      <c r="H2832" s="47"/>
      <c r="I2832" s="40"/>
      <c r="J2832" s="40">
        <v>825</v>
      </c>
      <c r="K2832" s="20">
        <v>2014</v>
      </c>
      <c r="L2832" s="21">
        <v>0.57090000000000007</v>
      </c>
      <c r="M2832" s="110">
        <f>IF(L2832="",I2832,(MIN(J2832,(L2832*1.6*J2832))))</f>
        <v>753.58800000000008</v>
      </c>
      <c r="N2832" s="111">
        <f>IF(M2832=0,0,(M2832/J2832))</f>
        <v>0.91344000000000014</v>
      </c>
    </row>
    <row r="2833" spans="2:14">
      <c r="B2833" s="73">
        <v>127804</v>
      </c>
      <c r="C2833" s="23" t="str">
        <f>"PINELLAS"</f>
        <v>PINELLAS</v>
      </c>
      <c r="D2833" s="123">
        <f>SUMIF(B$3:B$3844,B2833,M$3:M$3844)/(SUMIF(B$3:B$3844,B2833,J$3:J$3844))</f>
        <v>0.6210093385794162</v>
      </c>
      <c r="E2833" s="23">
        <v>38000</v>
      </c>
      <c r="F2833" s="46" t="str">
        <f>"WALSINGHAM ELEMENTARY SCHOOL"</f>
        <v>WALSINGHAM ELEMENTARY SCHOOL</v>
      </c>
      <c r="G2833" s="23"/>
      <c r="H2833" s="23"/>
      <c r="I2833" s="41"/>
      <c r="J2833" s="41">
        <v>546</v>
      </c>
      <c r="K2833" s="20">
        <v>2014</v>
      </c>
      <c r="L2833" s="21">
        <v>0.57399999999999995</v>
      </c>
      <c r="M2833" s="110">
        <f>IF(L2833="",I2833,(MIN(J2833,(L2833*1.6*J2833))))</f>
        <v>501.44639999999998</v>
      </c>
      <c r="N2833" s="111">
        <f>IF(M2833=0,0,(M2833/J2833))</f>
        <v>0.91839999999999999</v>
      </c>
    </row>
    <row r="2834" spans="2:14">
      <c r="B2834" s="72">
        <v>127804</v>
      </c>
      <c r="C2834" s="47" t="str">
        <f>"PINELLAS"</f>
        <v>PINELLAS</v>
      </c>
      <c r="D2834" s="123">
        <f>SUMIF(B$3:B$3844,B2834,M$3:M$3844)/(SUMIF(B$3:B$3844,B2834,J$3:J$3844))</f>
        <v>0.6210093385794162</v>
      </c>
      <c r="E2834" s="47">
        <v>37897</v>
      </c>
      <c r="F2834" s="48" t="str">
        <f>"WESTGATE ELEMENTARY SCHOOL"</f>
        <v>WESTGATE ELEMENTARY SCHOOL</v>
      </c>
      <c r="G2834" s="47"/>
      <c r="H2834" s="47"/>
      <c r="I2834" s="40"/>
      <c r="J2834" s="40">
        <v>559</v>
      </c>
      <c r="K2834" s="20">
        <v>2014</v>
      </c>
      <c r="L2834" s="21">
        <v>0.61809999999999998</v>
      </c>
      <c r="M2834" s="110">
        <f>IF(L2834="",I2834,(MIN(J2834,(L2834*1.6*J2834))))</f>
        <v>552.82864000000006</v>
      </c>
      <c r="N2834" s="111">
        <f>IF(M2834=0,0,(M2834/J2834))</f>
        <v>0.98896000000000006</v>
      </c>
    </row>
    <row r="2835" spans="2:14">
      <c r="B2835" s="73">
        <v>127804</v>
      </c>
      <c r="C2835" s="23" t="str">
        <f>"PINELLAS"</f>
        <v>PINELLAS</v>
      </c>
      <c r="D2835" s="123">
        <f>SUMIF(B$3:B$3844,B2835,M$3:M$3844)/(SUMIF(B$3:B$3844,B2835,J$3:J$3844))</f>
        <v>0.6210093385794162</v>
      </c>
      <c r="E2835" s="23">
        <v>37871</v>
      </c>
      <c r="F2835" s="46" t="str">
        <f>"WOODLAWN ELEMENTARY SCHOOL"</f>
        <v>WOODLAWN ELEMENTARY SCHOOL</v>
      </c>
      <c r="G2835" s="23"/>
      <c r="H2835" s="23"/>
      <c r="I2835" s="41"/>
      <c r="J2835" s="41">
        <v>366</v>
      </c>
      <c r="K2835" s="20">
        <v>2014</v>
      </c>
      <c r="L2835" s="21">
        <v>0.71230000000000004</v>
      </c>
      <c r="M2835" s="110">
        <f>IF(L2835="",I2835,(MIN(J2835,(L2835*1.6*J2835))))</f>
        <v>366</v>
      </c>
      <c r="N2835" s="111">
        <f>IF(M2835=0,0,(M2835/J2835))</f>
        <v>1</v>
      </c>
    </row>
    <row r="2836" spans="2:14">
      <c r="B2836" s="73">
        <v>127814</v>
      </c>
      <c r="C2836" s="23" t="s">
        <v>2448</v>
      </c>
      <c r="D2836" s="123">
        <f>SUMIF(B$3:B$3844,B2836,M$3:M$3844)/(SUMIF(B$3:B$3844,B2836,J$3:J$3844))</f>
        <v>0.82795063940702129</v>
      </c>
      <c r="E2836" s="47">
        <v>228419</v>
      </c>
      <c r="F2836" s="48" t="s">
        <v>1255</v>
      </c>
      <c r="G2836" s="47">
        <v>120159003259</v>
      </c>
      <c r="H2836" s="47"/>
      <c r="I2836" s="40"/>
      <c r="J2836" s="40">
        <v>157</v>
      </c>
      <c r="K2836" s="20">
        <v>2015</v>
      </c>
      <c r="L2836" s="20">
        <v>61.52</v>
      </c>
      <c r="M2836" s="110">
        <f>IF(L2836="",I2836,(MIN(J2836,(L2836*1.6*J2836))))</f>
        <v>157</v>
      </c>
      <c r="N2836" s="111">
        <f>IF(M2836=0,0,(M2836/J2836))</f>
        <v>1</v>
      </c>
    </row>
    <row r="2837" spans="2:14" ht="30">
      <c r="B2837" s="72">
        <v>127814</v>
      </c>
      <c r="C2837" s="23" t="s">
        <v>2448</v>
      </c>
      <c r="D2837" s="123">
        <f>SUMIF(B$3:B$3844,B2837,M$3:M$3844)/(SUMIF(B$3:B$3844,B2837,J$3:J$3844))</f>
        <v>0.82795063940702129</v>
      </c>
      <c r="E2837" s="47">
        <v>228419</v>
      </c>
      <c r="F2837" s="48" t="s">
        <v>1256</v>
      </c>
      <c r="G2837" s="117"/>
      <c r="H2837" s="117" t="s">
        <v>1256</v>
      </c>
      <c r="I2837" s="40"/>
      <c r="J2837" s="40"/>
      <c r="K2837" s="118"/>
      <c r="L2837" s="119"/>
      <c r="M2837" s="110">
        <f>IF(L2837="",I2837,(MIN(J2837,(L2837*1.6*J2837))))</f>
        <v>0</v>
      </c>
      <c r="N2837" s="111">
        <f>IF(M2837=0,0,(M2837/J2837))</f>
        <v>0</v>
      </c>
    </row>
    <row r="2838" spans="2:14" ht="30">
      <c r="B2838" s="72">
        <v>127814</v>
      </c>
      <c r="C2838" s="23" t="s">
        <v>2448</v>
      </c>
      <c r="D2838" s="123">
        <f>SUMIF(B$3:B$3844,B2838,M$3:M$3844)/(SUMIF(B$3:B$3844,B2838,J$3:J$3844))</f>
        <v>0.82795063940702129</v>
      </c>
      <c r="E2838" s="47">
        <v>228419</v>
      </c>
      <c r="F2838" s="48" t="s">
        <v>1257</v>
      </c>
      <c r="G2838" s="117"/>
      <c r="H2838" s="117" t="s">
        <v>1257</v>
      </c>
      <c r="I2838" s="40"/>
      <c r="J2838" s="40"/>
      <c r="K2838" s="118"/>
      <c r="L2838" s="119"/>
      <c r="M2838" s="110">
        <f>IF(L2838="",I2838,(MIN(J2838,(L2838*1.6*J2838))))</f>
        <v>0</v>
      </c>
      <c r="N2838" s="111">
        <f>IF(M2838=0,0,(M2838/J2838))</f>
        <v>0</v>
      </c>
    </row>
    <row r="2839" spans="2:14">
      <c r="B2839" s="82">
        <v>127814</v>
      </c>
      <c r="C2839" s="23" t="s">
        <v>2448</v>
      </c>
      <c r="D2839" s="123">
        <f>SUMIF(B$3:B$3844,B2839,M$3:M$3844)/(SUMIF(B$3:B$3844,B2839,J$3:J$3844))</f>
        <v>0.82795063940702129</v>
      </c>
      <c r="E2839" s="47">
        <v>38134</v>
      </c>
      <c r="F2839" s="48" t="s">
        <v>1258</v>
      </c>
      <c r="G2839" s="117" t="s">
        <v>1041</v>
      </c>
      <c r="H2839" s="117"/>
      <c r="I2839" s="40"/>
      <c r="J2839" s="40">
        <v>832</v>
      </c>
      <c r="K2839" s="118">
        <v>2015</v>
      </c>
      <c r="L2839" s="119">
        <v>61.52</v>
      </c>
      <c r="M2839" s="110">
        <f>IF(L2839="",I2839,(MIN(J2839,(L2839*1.6*J2839))))</f>
        <v>832</v>
      </c>
      <c r="N2839" s="111">
        <f>IF(M2839=0,0,(M2839/J2839))</f>
        <v>1</v>
      </c>
    </row>
    <row r="2840" spans="2:14">
      <c r="B2840" s="83">
        <v>127814</v>
      </c>
      <c r="C2840" s="23" t="s">
        <v>2448</v>
      </c>
      <c r="D2840" s="123">
        <f>SUMIF(B$3:B$3844,B2840,M$3:M$3844)/(SUMIF(B$3:B$3844,B2840,J$3:J$3844))</f>
        <v>0.82795063940702129</v>
      </c>
      <c r="E2840" s="47">
        <v>38085</v>
      </c>
      <c r="F2840" s="48" t="s">
        <v>1259</v>
      </c>
      <c r="G2840" s="117" t="s">
        <v>1042</v>
      </c>
      <c r="H2840" s="117"/>
      <c r="I2840" s="40"/>
      <c r="J2840" s="40">
        <v>337</v>
      </c>
      <c r="K2840" s="118">
        <v>2015</v>
      </c>
      <c r="L2840" s="119">
        <v>61.52</v>
      </c>
      <c r="M2840" s="110">
        <f>IF(L2840="",I2840,(MIN(J2840,(L2840*1.6*J2840))))</f>
        <v>337</v>
      </c>
      <c r="N2840" s="111">
        <f>IF(M2840=0,0,(M2840/J2840))</f>
        <v>1</v>
      </c>
    </row>
    <row r="2841" spans="2:14">
      <c r="B2841" s="82">
        <v>127814</v>
      </c>
      <c r="C2841" s="23" t="s">
        <v>2448</v>
      </c>
      <c r="D2841" s="123">
        <f>SUMIF(B$3:B$3844,B2841,M$3:M$3844)/(SUMIF(B$3:B$3844,B2841,J$3:J$3844))</f>
        <v>0.82795063940702129</v>
      </c>
      <c r="E2841" s="47">
        <v>38091</v>
      </c>
      <c r="F2841" s="48" t="s">
        <v>1043</v>
      </c>
      <c r="G2841" s="117" t="s">
        <v>1044</v>
      </c>
      <c r="H2841" s="117"/>
      <c r="I2841" s="40"/>
      <c r="J2841" s="40">
        <v>462</v>
      </c>
      <c r="K2841" s="118">
        <v>2015</v>
      </c>
      <c r="L2841" s="119">
        <v>61.52</v>
      </c>
      <c r="M2841" s="110">
        <f>IF(L2841="",I2841,(MIN(J2841,(L2841*1.6*J2841))))</f>
        <v>462</v>
      </c>
      <c r="N2841" s="111">
        <f>IF(M2841=0,0,(M2841/J2841))</f>
        <v>1</v>
      </c>
    </row>
    <row r="2842" spans="2:14">
      <c r="B2842" s="83">
        <v>127814</v>
      </c>
      <c r="C2842" s="23" t="s">
        <v>2448</v>
      </c>
      <c r="D2842" s="123">
        <f>SUMIF(B$3:B$3844,B2842,M$3:M$3844)/(SUMIF(B$3:B$3844,B2842,J$3:J$3844))</f>
        <v>0.82795063940702129</v>
      </c>
      <c r="E2842" s="47">
        <v>38087</v>
      </c>
      <c r="F2842" s="48" t="s">
        <v>1260</v>
      </c>
      <c r="G2842" s="117" t="s">
        <v>1045</v>
      </c>
      <c r="H2842" s="117"/>
      <c r="I2842" s="40">
        <v>939</v>
      </c>
      <c r="J2842" s="40">
        <v>1645</v>
      </c>
      <c r="K2842" s="118"/>
      <c r="L2842" s="119"/>
      <c r="M2842" s="110">
        <f>IF(L2842="",I2842,(MIN(J2842,(L2842*1.6*J2842))))</f>
        <v>939</v>
      </c>
      <c r="N2842" s="111">
        <f>IF(M2842=0,0,(M2842/J2842))</f>
        <v>0.57082066869300907</v>
      </c>
    </row>
    <row r="2843" spans="2:14">
      <c r="B2843" s="82">
        <v>127814</v>
      </c>
      <c r="C2843" s="23" t="s">
        <v>2448</v>
      </c>
      <c r="D2843" s="123">
        <f>SUMIF(B$3:B$3844,B2843,M$3:M$3844)/(SUMIF(B$3:B$3844,B2843,J$3:J$3844))</f>
        <v>0.82795063940702129</v>
      </c>
      <c r="E2843" s="47">
        <v>16027065</v>
      </c>
      <c r="F2843" s="48" t="s">
        <v>1046</v>
      </c>
      <c r="G2843" s="117" t="s">
        <v>1047</v>
      </c>
      <c r="H2843" s="117"/>
      <c r="I2843" s="40"/>
      <c r="J2843" s="40">
        <v>10</v>
      </c>
      <c r="K2843" s="118">
        <v>2015</v>
      </c>
      <c r="L2843" s="119">
        <v>61.52</v>
      </c>
      <c r="M2843" s="110">
        <f>IF(L2843="",I2843,(MIN(J2843,(L2843*1.6*J2843))))</f>
        <v>10</v>
      </c>
      <c r="N2843" s="111">
        <f>IF(M2843=0,0,(M2843/J2843))</f>
        <v>1</v>
      </c>
    </row>
    <row r="2844" spans="2:14">
      <c r="B2844" s="83">
        <v>127814</v>
      </c>
      <c r="C2844" s="23" t="s">
        <v>2448</v>
      </c>
      <c r="D2844" s="123">
        <f>SUMIF(B$3:B$3844,B2844,M$3:M$3844)/(SUMIF(B$3:B$3844,B2844,J$3:J$3844))</f>
        <v>0.82795063940702129</v>
      </c>
      <c r="E2844" s="47">
        <v>38103</v>
      </c>
      <c r="F2844" s="48" t="s">
        <v>1261</v>
      </c>
      <c r="G2844" s="117" t="s">
        <v>1048</v>
      </c>
      <c r="H2844" s="117"/>
      <c r="I2844" s="40">
        <v>164</v>
      </c>
      <c r="J2844" s="40">
        <v>463</v>
      </c>
      <c r="K2844" s="118"/>
      <c r="L2844" s="119"/>
      <c r="M2844" s="110">
        <f>IF(L2844="",I2844,(MIN(J2844,(L2844*1.6*J2844))))</f>
        <v>164</v>
      </c>
      <c r="N2844" s="111">
        <f>IF(M2844=0,0,(M2844/J2844))</f>
        <v>0.35421166306695462</v>
      </c>
    </row>
    <row r="2845" spans="2:14">
      <c r="B2845" s="82">
        <v>127814</v>
      </c>
      <c r="C2845" s="23" t="s">
        <v>2448</v>
      </c>
      <c r="D2845" s="123">
        <f>SUMIF(B$3:B$3844,B2845,M$3:M$3844)/(SUMIF(B$3:B$3844,B2845,J$3:J$3844))</f>
        <v>0.82795063940702129</v>
      </c>
      <c r="E2845" s="47">
        <v>38106</v>
      </c>
      <c r="F2845" s="48" t="s">
        <v>1262</v>
      </c>
      <c r="G2845" s="117" t="s">
        <v>1049</v>
      </c>
      <c r="H2845" s="117"/>
      <c r="I2845" s="40"/>
      <c r="J2845" s="40">
        <v>852</v>
      </c>
      <c r="K2845" s="118">
        <v>2015</v>
      </c>
      <c r="L2845" s="119">
        <v>61.52</v>
      </c>
      <c r="M2845" s="110">
        <f>IF(L2845="",I2845,(MIN(J2845,(L2845*1.6*J2845))))</f>
        <v>852</v>
      </c>
      <c r="N2845" s="111">
        <f>IF(M2845=0,0,(M2845/J2845))</f>
        <v>1</v>
      </c>
    </row>
    <row r="2846" spans="2:14">
      <c r="B2846" s="83">
        <v>127814</v>
      </c>
      <c r="C2846" s="23" t="s">
        <v>2448</v>
      </c>
      <c r="D2846" s="123">
        <f>SUMIF(B$3:B$3844,B2846,M$3:M$3844)/(SUMIF(B$3:B$3844,B2846,J$3:J$3844))</f>
        <v>0.82795063940702129</v>
      </c>
      <c r="E2846" s="47">
        <v>16082383</v>
      </c>
      <c r="F2846" s="48" t="s">
        <v>1050</v>
      </c>
      <c r="G2846" s="117"/>
      <c r="H2846" s="117"/>
      <c r="I2846" s="40"/>
      <c r="J2846" s="40" t="s">
        <v>264</v>
      </c>
      <c r="K2846" s="118"/>
      <c r="L2846" s="119"/>
      <c r="M2846" s="110">
        <f>IF(L2846="",I2846,(MIN(J2846,(L2846*1.6*J2846))))</f>
        <v>0</v>
      </c>
      <c r="N2846" s="111">
        <f>IF(M2846=0,0,(M2846/J2846))</f>
        <v>0</v>
      </c>
    </row>
    <row r="2847" spans="2:14">
      <c r="B2847" s="82">
        <v>127814</v>
      </c>
      <c r="C2847" s="23" t="s">
        <v>2448</v>
      </c>
      <c r="D2847" s="123">
        <f>SUMIF(B$3:B$3844,B2847,M$3:M$3844)/(SUMIF(B$3:B$3844,B2847,J$3:J$3844))</f>
        <v>0.82795063940702129</v>
      </c>
      <c r="E2847" s="47">
        <v>38107</v>
      </c>
      <c r="F2847" s="48" t="s">
        <v>1051</v>
      </c>
      <c r="G2847" s="117" t="s">
        <v>1052</v>
      </c>
      <c r="H2847" s="117"/>
      <c r="I2847" s="40"/>
      <c r="J2847" s="40">
        <v>2146</v>
      </c>
      <c r="K2847" s="118">
        <v>2015</v>
      </c>
      <c r="L2847" s="119">
        <v>61.52</v>
      </c>
      <c r="M2847" s="110">
        <f>IF(L2847="",I2847,(MIN(J2847,(L2847*1.6*J2847))))</f>
        <v>2146</v>
      </c>
      <c r="N2847" s="111">
        <f>IF(M2847=0,0,(M2847/J2847))</f>
        <v>1</v>
      </c>
    </row>
    <row r="2848" spans="2:14" ht="45">
      <c r="B2848" s="83">
        <v>127814</v>
      </c>
      <c r="C2848" s="23" t="s">
        <v>2448</v>
      </c>
      <c r="D2848" s="123">
        <f>SUMIF(B$3:B$3844,B2848,M$3:M$3844)/(SUMIF(B$3:B$3844,B2848,J$3:J$3844))</f>
        <v>0.82795063940702129</v>
      </c>
      <c r="E2848" s="47">
        <v>38107</v>
      </c>
      <c r="F2848" s="48" t="s">
        <v>1053</v>
      </c>
      <c r="G2848" s="117"/>
      <c r="H2848" s="117" t="s">
        <v>1053</v>
      </c>
      <c r="I2848" s="40"/>
      <c r="J2848" s="40"/>
      <c r="K2848" s="118">
        <v>2015</v>
      </c>
      <c r="L2848" s="119">
        <v>61.52</v>
      </c>
      <c r="M2848" s="110">
        <f>IF(L2848="",I2848,(MIN(J2848,(L2848*1.6*J2848))))</f>
        <v>0</v>
      </c>
      <c r="N2848" s="111">
        <f>IF(M2848=0,0,(M2848/J2848))</f>
        <v>0</v>
      </c>
    </row>
    <row r="2849" spans="2:14">
      <c r="B2849" s="72">
        <v>127814</v>
      </c>
      <c r="C2849" s="23" t="s">
        <v>2448</v>
      </c>
      <c r="D2849" s="123">
        <f>SUMIF(B$3:B$3844,B2849,M$3:M$3844)/(SUMIF(B$3:B$3844,B2849,J$3:J$3844))</f>
        <v>0.82795063940702129</v>
      </c>
      <c r="E2849" s="47">
        <v>38107</v>
      </c>
      <c r="F2849" s="48" t="s">
        <v>1054</v>
      </c>
      <c r="G2849" s="117"/>
      <c r="H2849" s="117" t="s">
        <v>1054</v>
      </c>
      <c r="I2849" s="40"/>
      <c r="J2849" s="40"/>
      <c r="K2849" s="118">
        <v>2015</v>
      </c>
      <c r="L2849" s="119">
        <v>61.52</v>
      </c>
      <c r="M2849" s="110">
        <f>IF(L2849="",I2849,(MIN(J2849,(L2849*1.6*J2849))))</f>
        <v>0</v>
      </c>
      <c r="N2849" s="111">
        <f>IF(M2849=0,0,(M2849/J2849))</f>
        <v>0</v>
      </c>
    </row>
    <row r="2850" spans="2:14">
      <c r="B2850" s="83">
        <v>127814</v>
      </c>
      <c r="C2850" s="23" t="s">
        <v>2448</v>
      </c>
      <c r="D2850" s="123">
        <f>SUMIF(B$3:B$3844,B2850,M$3:M$3844)/(SUMIF(B$3:B$3844,B2850,J$3:J$3844))</f>
        <v>0.82795063940702129</v>
      </c>
      <c r="E2850" s="47">
        <v>16082966</v>
      </c>
      <c r="F2850" s="48" t="s">
        <v>1263</v>
      </c>
      <c r="G2850" s="117" t="s">
        <v>1055</v>
      </c>
      <c r="H2850" s="117"/>
      <c r="I2850" s="40"/>
      <c r="J2850" s="40">
        <v>20</v>
      </c>
      <c r="K2850" s="118"/>
      <c r="L2850" s="119"/>
      <c r="M2850" s="110">
        <f>IF(L2850="",I2850,(MIN(J2850,(L2850*1.6*J2850))))</f>
        <v>0</v>
      </c>
      <c r="N2850" s="111">
        <f>IF(M2850=0,0,(M2850/J2850))</f>
        <v>0</v>
      </c>
    </row>
    <row r="2851" spans="2:14">
      <c r="B2851" s="82">
        <v>127814</v>
      </c>
      <c r="C2851" s="23" t="s">
        <v>2448</v>
      </c>
      <c r="D2851" s="123">
        <f>SUMIF(B$3:B$3844,B2851,M$3:M$3844)/(SUMIF(B$3:B$3844,B2851,J$3:J$3844))</f>
        <v>0.82795063940702129</v>
      </c>
      <c r="E2851" s="47">
        <v>38127</v>
      </c>
      <c r="F2851" s="48" t="s">
        <v>1056</v>
      </c>
      <c r="G2851" s="117" t="s">
        <v>1057</v>
      </c>
      <c r="H2851" s="117"/>
      <c r="I2851" s="40"/>
      <c r="J2851" s="40">
        <v>401</v>
      </c>
      <c r="K2851" s="118">
        <v>2015</v>
      </c>
      <c r="L2851" s="119">
        <v>61.52</v>
      </c>
      <c r="M2851" s="110">
        <f>IF(L2851="",I2851,(MIN(J2851,(L2851*1.6*J2851))))</f>
        <v>401</v>
      </c>
      <c r="N2851" s="111">
        <f>IF(M2851=0,0,(M2851/J2851))</f>
        <v>1</v>
      </c>
    </row>
    <row r="2852" spans="2:14">
      <c r="B2852" s="73">
        <v>127814</v>
      </c>
      <c r="C2852" s="23" t="s">
        <v>2448</v>
      </c>
      <c r="D2852" s="123">
        <f>SUMIF(B$3:B$3844,B2852,M$3:M$3844)/(SUMIF(B$3:B$3844,B2852,J$3:J$3844))</f>
        <v>0.82795063940702129</v>
      </c>
      <c r="E2852" s="47">
        <v>16039984</v>
      </c>
      <c r="F2852" s="48" t="s">
        <v>1058</v>
      </c>
      <c r="G2852" s="117" t="s">
        <v>1059</v>
      </c>
      <c r="H2852" s="117"/>
      <c r="I2852" s="40">
        <v>149</v>
      </c>
      <c r="J2852" s="40">
        <v>463</v>
      </c>
      <c r="K2852" s="118"/>
      <c r="L2852" s="119"/>
      <c r="M2852" s="110">
        <f>IF(L2852="",I2852,(MIN(J2852,(L2852*1.6*J2852))))</f>
        <v>149</v>
      </c>
      <c r="N2852" s="111">
        <f>IF(M2852=0,0,(M2852/J2852))</f>
        <v>0.32181425485961124</v>
      </c>
    </row>
    <row r="2853" spans="2:14">
      <c r="B2853" s="72">
        <v>127814</v>
      </c>
      <c r="C2853" s="23" t="s">
        <v>2448</v>
      </c>
      <c r="D2853" s="123">
        <f>SUMIF(B$3:B$3844,B2853,M$3:M$3844)/(SUMIF(B$3:B$3844,B2853,J$3:J$3844))</f>
        <v>0.82795063940702129</v>
      </c>
      <c r="E2853" s="47">
        <v>220878</v>
      </c>
      <c r="F2853" s="48" t="s">
        <v>1264</v>
      </c>
      <c r="G2853" s="117" t="s">
        <v>1060</v>
      </c>
      <c r="H2853" s="117"/>
      <c r="I2853" s="40">
        <v>230</v>
      </c>
      <c r="J2853" s="40">
        <v>697</v>
      </c>
      <c r="K2853" s="118"/>
      <c r="L2853" s="119"/>
      <c r="M2853" s="110">
        <f>IF(L2853="",I2853,(MIN(J2853,(L2853*1.6*J2853))))</f>
        <v>230</v>
      </c>
      <c r="N2853" s="111">
        <f>IF(M2853=0,0,(M2853/J2853))</f>
        <v>0.32998565279770442</v>
      </c>
    </row>
    <row r="2854" spans="2:14">
      <c r="B2854" s="73">
        <v>127814</v>
      </c>
      <c r="C2854" s="23" t="s">
        <v>2448</v>
      </c>
      <c r="D2854" s="123">
        <f>SUMIF(B$3:B$3844,B2854,M$3:M$3844)/(SUMIF(B$3:B$3844,B2854,J$3:J$3844))</f>
        <v>0.82795063940702129</v>
      </c>
      <c r="E2854" s="47">
        <v>38128</v>
      </c>
      <c r="F2854" s="48" t="s">
        <v>1265</v>
      </c>
      <c r="G2854" s="117" t="s">
        <v>1061</v>
      </c>
      <c r="H2854" s="117"/>
      <c r="I2854" s="40"/>
      <c r="J2854" s="40">
        <v>463</v>
      </c>
      <c r="K2854" s="118">
        <v>2015</v>
      </c>
      <c r="L2854" s="119">
        <v>61.52</v>
      </c>
      <c r="M2854" s="110">
        <f>IF(L2854="",I2854,(MIN(J2854,(L2854*1.6*J2854))))</f>
        <v>463</v>
      </c>
      <c r="N2854" s="111">
        <f>IF(M2854=0,0,(M2854/J2854))</f>
        <v>1</v>
      </c>
    </row>
    <row r="2855" spans="2:14">
      <c r="B2855" s="72">
        <v>127814</v>
      </c>
      <c r="C2855" s="23" t="s">
        <v>2448</v>
      </c>
      <c r="D2855" s="123">
        <f>SUMIF(B$3:B$3844,B2855,M$3:M$3844)/(SUMIF(B$3:B$3844,B2855,J$3:J$3844))</f>
        <v>0.82795063940702129</v>
      </c>
      <c r="E2855" s="47">
        <v>38049</v>
      </c>
      <c r="F2855" s="48" t="s">
        <v>1266</v>
      </c>
      <c r="G2855" s="117" t="s">
        <v>1062</v>
      </c>
      <c r="H2855" s="117"/>
      <c r="I2855" s="40"/>
      <c r="J2855" s="40">
        <v>65</v>
      </c>
      <c r="K2855" s="118">
        <v>2015</v>
      </c>
      <c r="L2855" s="119">
        <v>61.52</v>
      </c>
      <c r="M2855" s="110">
        <f>IF(L2855="",I2855,(MIN(J2855,(L2855*1.6*J2855))))</f>
        <v>65</v>
      </c>
      <c r="N2855" s="111">
        <f>IF(M2855=0,0,(M2855/J2855))</f>
        <v>1</v>
      </c>
    </row>
    <row r="2856" spans="2:14">
      <c r="B2856" s="73">
        <v>127814</v>
      </c>
      <c r="C2856" s="23" t="s">
        <v>2448</v>
      </c>
      <c r="D2856" s="123">
        <f>SUMIF(B$3:B$3844,B2856,M$3:M$3844)/(SUMIF(B$3:B$3844,B2856,J$3:J$3844))</f>
        <v>0.82795063940702129</v>
      </c>
      <c r="E2856" s="47">
        <v>38071</v>
      </c>
      <c r="F2856" s="48" t="s">
        <v>1063</v>
      </c>
      <c r="G2856" s="117" t="s">
        <v>1064</v>
      </c>
      <c r="H2856" s="117"/>
      <c r="I2856" s="40"/>
      <c r="J2856" s="40">
        <v>464</v>
      </c>
      <c r="K2856" s="118">
        <v>2015</v>
      </c>
      <c r="L2856" s="119">
        <v>61.52</v>
      </c>
      <c r="M2856" s="110">
        <f>IF(L2856="",I2856,(MIN(J2856,(L2856*1.6*J2856))))</f>
        <v>464</v>
      </c>
      <c r="N2856" s="111">
        <f>IF(M2856=0,0,(M2856/J2856))</f>
        <v>1</v>
      </c>
    </row>
    <row r="2857" spans="2:14">
      <c r="B2857" s="72">
        <v>127814</v>
      </c>
      <c r="C2857" s="23" t="s">
        <v>2448</v>
      </c>
      <c r="D2857" s="123">
        <f>SUMIF(B$3:B$3844,B2857,M$3:M$3844)/(SUMIF(B$3:B$3844,B2857,J$3:J$3844))</f>
        <v>0.82795063940702129</v>
      </c>
      <c r="E2857" s="47">
        <v>16082385</v>
      </c>
      <c r="F2857" s="48" t="s">
        <v>1065</v>
      </c>
      <c r="G2857" s="117"/>
      <c r="H2857" s="117"/>
      <c r="I2857" s="40"/>
      <c r="J2857" s="40" t="s">
        <v>264</v>
      </c>
      <c r="K2857" s="118"/>
      <c r="L2857" s="119"/>
      <c r="M2857" s="110">
        <f>IF(L2857="",I2857,(MIN(J2857,(L2857*1.6*J2857))))</f>
        <v>0</v>
      </c>
      <c r="N2857" s="111">
        <f>IF(M2857=0,0,(M2857/J2857))</f>
        <v>0</v>
      </c>
    </row>
    <row r="2858" spans="2:14">
      <c r="B2858" s="73">
        <v>127814</v>
      </c>
      <c r="C2858" s="23" t="s">
        <v>2448</v>
      </c>
      <c r="D2858" s="123">
        <f>SUMIF(B$3:B$3844,B2858,M$3:M$3844)/(SUMIF(B$3:B$3844,B2858,J$3:J$3844))</f>
        <v>0.82795063940702129</v>
      </c>
      <c r="E2858" s="47">
        <v>225525</v>
      </c>
      <c r="F2858" s="48" t="s">
        <v>1267</v>
      </c>
      <c r="G2858" s="117" t="s">
        <v>1066</v>
      </c>
      <c r="H2858" s="117"/>
      <c r="I2858" s="40">
        <v>9</v>
      </c>
      <c r="J2858" s="40">
        <v>293</v>
      </c>
      <c r="K2858" s="118"/>
      <c r="L2858" s="119"/>
      <c r="M2858" s="110">
        <f>IF(L2858="",I2858,(MIN(J2858,(L2858*1.6*J2858))))</f>
        <v>9</v>
      </c>
      <c r="N2858" s="111">
        <f>IF(M2858=0,0,(M2858/J2858))</f>
        <v>3.0716723549488054E-2</v>
      </c>
    </row>
    <row r="2859" spans="2:14">
      <c r="B2859" s="72">
        <v>127814</v>
      </c>
      <c r="C2859" s="23" t="s">
        <v>2448</v>
      </c>
      <c r="D2859" s="123">
        <f>SUMIF(B$3:B$3844,B2859,M$3:M$3844)/(SUMIF(B$3:B$3844,B2859,J$3:J$3844))</f>
        <v>0.82795063940702129</v>
      </c>
      <c r="E2859" s="47">
        <v>16032762</v>
      </c>
      <c r="F2859" s="48" t="s">
        <v>1067</v>
      </c>
      <c r="G2859" s="117" t="s">
        <v>1068</v>
      </c>
      <c r="H2859" s="117"/>
      <c r="I2859" s="40"/>
      <c r="J2859" s="40">
        <v>1106</v>
      </c>
      <c r="K2859" s="118">
        <v>2015</v>
      </c>
      <c r="L2859" s="119">
        <v>61.52</v>
      </c>
      <c r="M2859" s="110">
        <f>IF(L2859="",I2859,(MIN(J2859,(L2859*1.6*J2859))))</f>
        <v>1106</v>
      </c>
      <c r="N2859" s="111">
        <f>IF(M2859=0,0,(M2859/J2859))</f>
        <v>1</v>
      </c>
    </row>
    <row r="2860" spans="2:14">
      <c r="B2860" s="73">
        <v>127814</v>
      </c>
      <c r="C2860" s="23" t="s">
        <v>2448</v>
      </c>
      <c r="D2860" s="123">
        <f>SUMIF(B$3:B$3844,B2860,M$3:M$3844)/(SUMIF(B$3:B$3844,B2860,J$3:J$3844))</f>
        <v>0.82795063940702129</v>
      </c>
      <c r="E2860" s="47">
        <v>17002402</v>
      </c>
      <c r="F2860" s="48" t="s">
        <v>1069</v>
      </c>
      <c r="G2860" s="117">
        <v>1201590</v>
      </c>
      <c r="H2860" s="117"/>
      <c r="I2860" s="40"/>
      <c r="J2860" s="40">
        <v>767</v>
      </c>
      <c r="K2860" s="118"/>
      <c r="L2860" s="119"/>
      <c r="M2860" s="110">
        <f>IF(L2860="",I2860,(MIN(J2860,(L2860*1.6*J2860))))</f>
        <v>0</v>
      </c>
      <c r="N2860" s="111">
        <f>IF(M2860=0,0,(M2860/J2860))</f>
        <v>0</v>
      </c>
    </row>
    <row r="2861" spans="2:14">
      <c r="B2861" s="72">
        <v>127814</v>
      </c>
      <c r="C2861" s="23" t="s">
        <v>2448</v>
      </c>
      <c r="D2861" s="123">
        <f>SUMIF(B$3:B$3844,B2861,M$3:M$3844)/(SUMIF(B$3:B$3844,B2861,J$3:J$3844))</f>
        <v>0.82795063940702129</v>
      </c>
      <c r="E2861" s="47">
        <v>38092</v>
      </c>
      <c r="F2861" s="48" t="s">
        <v>1070</v>
      </c>
      <c r="G2861" s="117" t="s">
        <v>1071</v>
      </c>
      <c r="H2861" s="117"/>
      <c r="I2861" s="40"/>
      <c r="J2861" s="40">
        <v>424</v>
      </c>
      <c r="K2861" s="118">
        <v>2015</v>
      </c>
      <c r="L2861" s="119">
        <v>61.52</v>
      </c>
      <c r="M2861" s="110">
        <f>IF(L2861="",I2861,(MIN(J2861,(L2861*1.6*J2861))))</f>
        <v>424</v>
      </c>
      <c r="N2861" s="111">
        <f>IF(M2861=0,0,(M2861/J2861))</f>
        <v>1</v>
      </c>
    </row>
    <row r="2862" spans="2:14">
      <c r="B2862" s="73">
        <v>127814</v>
      </c>
      <c r="C2862" s="23" t="s">
        <v>2448</v>
      </c>
      <c r="D2862" s="123">
        <f>SUMIF(B$3:B$3844,B2862,M$3:M$3844)/(SUMIF(B$3:B$3844,B2862,J$3:J$3844))</f>
        <v>0.82795063940702129</v>
      </c>
      <c r="E2862" s="47">
        <v>38047</v>
      </c>
      <c r="F2862" s="48" t="s">
        <v>1072</v>
      </c>
      <c r="G2862" s="117" t="s">
        <v>1073</v>
      </c>
      <c r="H2862" s="117"/>
      <c r="I2862" s="40"/>
      <c r="J2862" s="40">
        <v>421</v>
      </c>
      <c r="K2862" s="118">
        <v>2015</v>
      </c>
      <c r="L2862" s="119">
        <v>61.52</v>
      </c>
      <c r="M2862" s="110">
        <f>IF(L2862="",I2862,(MIN(J2862,(L2862*1.6*J2862))))</f>
        <v>421</v>
      </c>
      <c r="N2862" s="111">
        <f>IF(M2862=0,0,(M2862/J2862))</f>
        <v>1</v>
      </c>
    </row>
    <row r="2863" spans="2:14">
      <c r="B2863" s="72">
        <v>127814</v>
      </c>
      <c r="C2863" s="23" t="s">
        <v>2448</v>
      </c>
      <c r="D2863" s="123">
        <f>SUMIF(B$3:B$3844,B2863,M$3:M$3844)/(SUMIF(B$3:B$3844,B2863,J$3:J$3844))</f>
        <v>0.82795063940702129</v>
      </c>
      <c r="E2863" s="47">
        <v>38034</v>
      </c>
      <c r="F2863" s="48" t="s">
        <v>1268</v>
      </c>
      <c r="G2863" s="117" t="s">
        <v>1074</v>
      </c>
      <c r="H2863" s="117"/>
      <c r="I2863" s="40"/>
      <c r="J2863" s="40">
        <v>767</v>
      </c>
      <c r="K2863" s="118">
        <v>2015</v>
      </c>
      <c r="L2863" s="119">
        <v>61.52</v>
      </c>
      <c r="M2863" s="110">
        <f>IF(L2863="",I2863,(MIN(J2863,(L2863*1.6*J2863))))</f>
        <v>767</v>
      </c>
      <c r="N2863" s="111">
        <f>IF(M2863=0,0,(M2863/J2863))</f>
        <v>1</v>
      </c>
    </row>
    <row r="2864" spans="2:14">
      <c r="B2864" s="73">
        <v>127814</v>
      </c>
      <c r="C2864" s="23" t="s">
        <v>2448</v>
      </c>
      <c r="D2864" s="123">
        <f>SUMIF(B$3:B$3844,B2864,M$3:M$3844)/(SUMIF(B$3:B$3844,B2864,J$3:J$3844))</f>
        <v>0.82795063940702129</v>
      </c>
      <c r="E2864" s="47">
        <v>232233</v>
      </c>
      <c r="F2864" s="48" t="s">
        <v>1269</v>
      </c>
      <c r="G2864" s="117" t="s">
        <v>1075</v>
      </c>
      <c r="H2864" s="117"/>
      <c r="I2864" s="40"/>
      <c r="J2864" s="40">
        <v>159</v>
      </c>
      <c r="K2864" s="118">
        <v>2015</v>
      </c>
      <c r="L2864" s="119">
        <v>60.12</v>
      </c>
      <c r="M2864" s="110">
        <f>IF(L2864="",I2864,(MIN(J2864,(L2864*1.6*J2864))))</f>
        <v>159</v>
      </c>
      <c r="N2864" s="111">
        <f>IF(M2864=0,0,(M2864/J2864))</f>
        <v>1</v>
      </c>
    </row>
    <row r="2865" spans="2:14">
      <c r="B2865" s="72">
        <v>127814</v>
      </c>
      <c r="C2865" s="23" t="s">
        <v>2448</v>
      </c>
      <c r="D2865" s="123">
        <f>SUMIF(B$3:B$3844,B2865,M$3:M$3844)/(SUMIF(B$3:B$3844,B2865,J$3:J$3844))</f>
        <v>0.82795063940702129</v>
      </c>
      <c r="E2865" s="47">
        <v>38039</v>
      </c>
      <c r="F2865" s="48" t="s">
        <v>932</v>
      </c>
      <c r="G2865" s="117" t="s">
        <v>1076</v>
      </c>
      <c r="H2865" s="117"/>
      <c r="I2865" s="40"/>
      <c r="J2865" s="40">
        <v>588</v>
      </c>
      <c r="K2865" s="118">
        <v>2015</v>
      </c>
      <c r="L2865" s="119">
        <v>61.52</v>
      </c>
      <c r="M2865" s="110">
        <f>IF(L2865="",I2865,(MIN(J2865,(L2865*1.6*J2865))))</f>
        <v>588</v>
      </c>
      <c r="N2865" s="111">
        <f>IF(M2865=0,0,(M2865/J2865))</f>
        <v>1</v>
      </c>
    </row>
    <row r="2866" spans="2:14">
      <c r="B2866" s="73">
        <v>127814</v>
      </c>
      <c r="C2866" s="23" t="s">
        <v>2448</v>
      </c>
      <c r="D2866" s="123">
        <f>SUMIF(B$3:B$3844,B2866,M$3:M$3844)/(SUMIF(B$3:B$3844,B2866,J$3:J$3844))</f>
        <v>0.82795063940702129</v>
      </c>
      <c r="E2866" s="47">
        <v>38040</v>
      </c>
      <c r="F2866" s="48" t="s">
        <v>1270</v>
      </c>
      <c r="G2866" s="117" t="s">
        <v>1077</v>
      </c>
      <c r="H2866" s="117"/>
      <c r="I2866" s="40"/>
      <c r="J2866" s="40">
        <v>898</v>
      </c>
      <c r="K2866" s="118">
        <v>2015</v>
      </c>
      <c r="L2866" s="119">
        <v>61.52</v>
      </c>
      <c r="M2866" s="110">
        <f>IF(L2866="",I2866,(MIN(J2866,(L2866*1.6*J2866))))</f>
        <v>898</v>
      </c>
      <c r="N2866" s="111">
        <f>IF(M2866=0,0,(M2866/J2866))</f>
        <v>1</v>
      </c>
    </row>
    <row r="2867" spans="2:14" ht="30">
      <c r="B2867" s="82">
        <v>127814</v>
      </c>
      <c r="C2867" s="23" t="s">
        <v>2448</v>
      </c>
      <c r="D2867" s="123">
        <f>SUMIF(B$3:B$3844,B2867,M$3:M$3844)/(SUMIF(B$3:B$3844,B2867,J$3:J$3844))</f>
        <v>0.82795063940702129</v>
      </c>
      <c r="E2867" s="47">
        <v>38132</v>
      </c>
      <c r="F2867" s="48" t="s">
        <v>1078</v>
      </c>
      <c r="G2867" s="117">
        <v>120159004435</v>
      </c>
      <c r="H2867" s="117"/>
      <c r="I2867" s="40">
        <v>349</v>
      </c>
      <c r="J2867" s="40">
        <v>493</v>
      </c>
      <c r="K2867" s="118"/>
      <c r="L2867" s="119"/>
      <c r="M2867" s="110">
        <f>IF(L2867="",I2867,(MIN(J2867,(L2867*1.6*J2867))))</f>
        <v>349</v>
      </c>
      <c r="N2867" s="111">
        <f>IF(M2867=0,0,(M2867/J2867))</f>
        <v>0.7079107505070994</v>
      </c>
    </row>
    <row r="2868" spans="2:14">
      <c r="B2868" s="73">
        <v>127814</v>
      </c>
      <c r="C2868" s="23" t="s">
        <v>2448</v>
      </c>
      <c r="D2868" s="123">
        <f>SUMIF(B$3:B$3844,B2868,M$3:M$3844)/(SUMIF(B$3:B$3844,B2868,J$3:J$3844))</f>
        <v>0.82795063940702129</v>
      </c>
      <c r="E2868" s="47">
        <v>16082667</v>
      </c>
      <c r="F2868" s="48" t="s">
        <v>1271</v>
      </c>
      <c r="G2868" s="117" t="s">
        <v>1079</v>
      </c>
      <c r="H2868" s="117"/>
      <c r="I2868" s="40"/>
      <c r="J2868" s="40">
        <v>273</v>
      </c>
      <c r="K2868" s="118">
        <v>2015</v>
      </c>
      <c r="L2868" s="119">
        <v>61.52</v>
      </c>
      <c r="M2868" s="110">
        <f>IF(L2868="",I2868,(MIN(J2868,(L2868*1.6*J2868))))</f>
        <v>273</v>
      </c>
      <c r="N2868" s="111">
        <f>IF(M2868=0,0,(M2868/J2868))</f>
        <v>1</v>
      </c>
    </row>
    <row r="2869" spans="2:14">
      <c r="B2869" s="72">
        <v>127814</v>
      </c>
      <c r="C2869" s="23" t="s">
        <v>2448</v>
      </c>
      <c r="D2869" s="123">
        <f>SUMIF(B$3:B$3844,B2869,M$3:M$3844)/(SUMIF(B$3:B$3844,B2869,J$3:J$3844))</f>
        <v>0.82795063940702129</v>
      </c>
      <c r="E2869" s="47">
        <v>38114</v>
      </c>
      <c r="F2869" s="48" t="s">
        <v>1272</v>
      </c>
      <c r="G2869" s="117" t="s">
        <v>1080</v>
      </c>
      <c r="H2869" s="117"/>
      <c r="I2869" s="40">
        <v>649</v>
      </c>
      <c r="J2869" s="40">
        <v>1097</v>
      </c>
      <c r="K2869" s="118"/>
      <c r="L2869" s="119"/>
      <c r="M2869" s="110">
        <f>IF(L2869="",I2869,(MIN(J2869,(L2869*1.6*J2869))))</f>
        <v>649</v>
      </c>
      <c r="N2869" s="111">
        <f>IF(M2869=0,0,(M2869/J2869))</f>
        <v>0.59161349134001828</v>
      </c>
    </row>
    <row r="2870" spans="2:14">
      <c r="B2870" s="73">
        <v>127814</v>
      </c>
      <c r="C2870" s="23" t="s">
        <v>2448</v>
      </c>
      <c r="D2870" s="123">
        <f>SUMIF(B$3:B$3844,B2870,M$3:M$3844)/(SUMIF(B$3:B$3844,B2870,J$3:J$3844))</f>
        <v>0.82795063940702129</v>
      </c>
      <c r="E2870" s="47">
        <v>38179</v>
      </c>
      <c r="F2870" s="48" t="s">
        <v>1273</v>
      </c>
      <c r="G2870" s="117" t="s">
        <v>1081</v>
      </c>
      <c r="H2870" s="117"/>
      <c r="I2870" s="40"/>
      <c r="J2870" s="40">
        <v>862</v>
      </c>
      <c r="K2870" s="118">
        <v>2015</v>
      </c>
      <c r="L2870" s="119">
        <v>61.52</v>
      </c>
      <c r="M2870" s="110">
        <f>IF(L2870="",I2870,(MIN(J2870,(L2870*1.6*J2870))))</f>
        <v>862</v>
      </c>
      <c r="N2870" s="111">
        <f>IF(M2870=0,0,(M2870/J2870))</f>
        <v>1</v>
      </c>
    </row>
    <row r="2871" spans="2:14">
      <c r="B2871" s="72">
        <v>127814</v>
      </c>
      <c r="C2871" s="23" t="s">
        <v>2448</v>
      </c>
      <c r="D2871" s="123">
        <f>SUMIF(B$3:B$3844,B2871,M$3:M$3844)/(SUMIF(B$3:B$3844,B2871,J$3:J$3844))</f>
        <v>0.82795063940702129</v>
      </c>
      <c r="E2871" s="47">
        <v>38136</v>
      </c>
      <c r="F2871" s="48" t="s">
        <v>1082</v>
      </c>
      <c r="G2871" s="117" t="s">
        <v>1083</v>
      </c>
      <c r="H2871" s="117"/>
      <c r="I2871" s="40">
        <v>797</v>
      </c>
      <c r="J2871" s="40">
        <v>1042</v>
      </c>
      <c r="K2871" s="118"/>
      <c r="L2871" s="119"/>
      <c r="M2871" s="110">
        <f>IF(L2871="",I2871,(MIN(J2871,(L2871*1.6*J2871))))</f>
        <v>797</v>
      </c>
      <c r="N2871" s="111">
        <f>IF(M2871=0,0,(M2871/J2871))</f>
        <v>0.76487523992322459</v>
      </c>
    </row>
    <row r="2872" spans="2:14">
      <c r="B2872" s="83">
        <v>127814</v>
      </c>
      <c r="C2872" s="23" t="s">
        <v>2448</v>
      </c>
      <c r="D2872" s="123">
        <f>SUMIF(B$3:B$3844,B2872,M$3:M$3844)/(SUMIF(B$3:B$3844,B2872,J$3:J$3844))</f>
        <v>0.82795063940702129</v>
      </c>
      <c r="E2872" s="47">
        <v>16027607</v>
      </c>
      <c r="F2872" s="48" t="s">
        <v>1084</v>
      </c>
      <c r="G2872" s="117">
        <v>1201590</v>
      </c>
      <c r="H2872" s="117"/>
      <c r="I2872" s="40"/>
      <c r="J2872" s="40"/>
      <c r="K2872" s="118"/>
      <c r="L2872" s="119"/>
      <c r="M2872" s="110">
        <f>IF(L2872="",I2872,(MIN(J2872,(L2872*1.6*J2872))))</f>
        <v>0</v>
      </c>
      <c r="N2872" s="111">
        <f>IF(M2872=0,0,(M2872/J2872))</f>
        <v>0</v>
      </c>
    </row>
    <row r="2873" spans="2:14">
      <c r="B2873" s="72">
        <v>127814</v>
      </c>
      <c r="C2873" s="23" t="s">
        <v>2448</v>
      </c>
      <c r="D2873" s="123">
        <f>SUMIF(B$3:B$3844,B2873,M$3:M$3844)/(SUMIF(B$3:B$3844,B2873,J$3:J$3844))</f>
        <v>0.82795063940702129</v>
      </c>
      <c r="E2873" s="47">
        <v>38043</v>
      </c>
      <c r="F2873" s="48" t="s">
        <v>1274</v>
      </c>
      <c r="G2873" s="117" t="s">
        <v>1085</v>
      </c>
      <c r="H2873" s="117"/>
      <c r="I2873" s="40"/>
      <c r="J2873" s="40">
        <v>501</v>
      </c>
      <c r="K2873" s="118">
        <v>2015</v>
      </c>
      <c r="L2873" s="119">
        <v>61.52</v>
      </c>
      <c r="M2873" s="110">
        <f>IF(L2873="",I2873,(MIN(J2873,(L2873*1.6*J2873))))</f>
        <v>501</v>
      </c>
      <c r="N2873" s="111">
        <f>IF(M2873=0,0,(M2873/J2873))</f>
        <v>1</v>
      </c>
    </row>
    <row r="2874" spans="2:14">
      <c r="B2874" s="73">
        <v>127814</v>
      </c>
      <c r="C2874" s="23" t="s">
        <v>2448</v>
      </c>
      <c r="D2874" s="123">
        <f>SUMIF(B$3:B$3844,B2874,M$3:M$3844)/(SUMIF(B$3:B$3844,B2874,J$3:J$3844))</f>
        <v>0.82795063940702129</v>
      </c>
      <c r="E2874" s="47">
        <v>38115</v>
      </c>
      <c r="F2874" s="48" t="s">
        <v>1275</v>
      </c>
      <c r="G2874" s="117" t="s">
        <v>1086</v>
      </c>
      <c r="H2874" s="117"/>
      <c r="I2874" s="40"/>
      <c r="J2874" s="40">
        <v>50</v>
      </c>
      <c r="K2874" s="118">
        <v>2015</v>
      </c>
      <c r="L2874" s="119">
        <v>61.52</v>
      </c>
      <c r="M2874" s="110">
        <f>IF(L2874="",I2874,(MIN(J2874,(L2874*1.6*J2874))))</f>
        <v>50</v>
      </c>
      <c r="N2874" s="111">
        <f>IF(M2874=0,0,(M2874/J2874))</f>
        <v>1</v>
      </c>
    </row>
    <row r="2875" spans="2:14">
      <c r="B2875" s="72">
        <v>127814</v>
      </c>
      <c r="C2875" s="23" t="s">
        <v>2448</v>
      </c>
      <c r="D2875" s="123">
        <f>SUMIF(B$3:B$3844,B2875,M$3:M$3844)/(SUMIF(B$3:B$3844,B2875,J$3:J$3844))</f>
        <v>0.82795063940702129</v>
      </c>
      <c r="E2875" s="47">
        <v>38035</v>
      </c>
      <c r="F2875" s="48" t="s">
        <v>1087</v>
      </c>
      <c r="G2875" s="117" t="s">
        <v>1088</v>
      </c>
      <c r="H2875" s="117"/>
      <c r="I2875" s="40"/>
      <c r="J2875" s="40">
        <v>106</v>
      </c>
      <c r="K2875" s="118">
        <v>2015</v>
      </c>
      <c r="L2875" s="119">
        <v>61.52</v>
      </c>
      <c r="M2875" s="110">
        <f>IF(L2875="",I2875,(MIN(J2875,(L2875*1.6*J2875))))</f>
        <v>106</v>
      </c>
      <c r="N2875" s="111">
        <f>IF(M2875=0,0,(M2875/J2875))</f>
        <v>1</v>
      </c>
    </row>
    <row r="2876" spans="2:14">
      <c r="B2876" s="73">
        <v>127814</v>
      </c>
      <c r="C2876" s="23" t="s">
        <v>2448</v>
      </c>
      <c r="D2876" s="123">
        <f>SUMIF(B$3:B$3844,B2876,M$3:M$3844)/(SUMIF(B$3:B$3844,B2876,J$3:J$3844))</f>
        <v>0.82795063940702129</v>
      </c>
      <c r="E2876" s="47">
        <v>234332</v>
      </c>
      <c r="F2876" s="48" t="s">
        <v>1089</v>
      </c>
      <c r="G2876" s="117" t="s">
        <v>1090</v>
      </c>
      <c r="H2876" s="117"/>
      <c r="I2876" s="40"/>
      <c r="J2876" s="40">
        <v>738</v>
      </c>
      <c r="K2876" s="118">
        <v>2015</v>
      </c>
      <c r="L2876" s="119">
        <v>61.52</v>
      </c>
      <c r="M2876" s="110">
        <f>IF(L2876="",I2876,(MIN(J2876,(L2876*1.6*J2876))))</f>
        <v>738</v>
      </c>
      <c r="N2876" s="111">
        <f>IF(M2876=0,0,(M2876/J2876))</f>
        <v>1</v>
      </c>
    </row>
    <row r="2877" spans="2:14">
      <c r="B2877" s="72">
        <v>127814</v>
      </c>
      <c r="C2877" s="23" t="s">
        <v>2448</v>
      </c>
      <c r="D2877" s="123">
        <f>SUMIF(B$3:B$3844,B2877,M$3:M$3844)/(SUMIF(B$3:B$3844,B2877,J$3:J$3844))</f>
        <v>0.82795063940702129</v>
      </c>
      <c r="E2877" s="47">
        <v>38116</v>
      </c>
      <c r="F2877" s="48" t="s">
        <v>1276</v>
      </c>
      <c r="G2877" s="117" t="s">
        <v>1091</v>
      </c>
      <c r="H2877" s="117"/>
      <c r="I2877" s="40"/>
      <c r="J2877" s="40">
        <v>563</v>
      </c>
      <c r="K2877" s="118">
        <v>2015</v>
      </c>
      <c r="L2877" s="119">
        <v>61.52</v>
      </c>
      <c r="M2877" s="110">
        <f>IF(L2877="",I2877,(MIN(J2877,(L2877*1.6*J2877))))</f>
        <v>563</v>
      </c>
      <c r="N2877" s="111">
        <f>IF(M2877=0,0,(M2877/J2877))</f>
        <v>1</v>
      </c>
    </row>
    <row r="2878" spans="2:14">
      <c r="B2878" s="73">
        <v>127814</v>
      </c>
      <c r="C2878" s="23" t="s">
        <v>2448</v>
      </c>
      <c r="D2878" s="123">
        <f>SUMIF(B$3:B$3844,B2878,M$3:M$3844)/(SUMIF(B$3:B$3844,B2878,J$3:J$3844))</f>
        <v>0.82795063940702129</v>
      </c>
      <c r="E2878" s="47">
        <v>220879</v>
      </c>
      <c r="F2878" s="48" t="s">
        <v>1277</v>
      </c>
      <c r="G2878" s="117" t="s">
        <v>1092</v>
      </c>
      <c r="H2878" s="117"/>
      <c r="I2878" s="40"/>
      <c r="J2878" s="40">
        <v>645</v>
      </c>
      <c r="K2878" s="118">
        <v>2015</v>
      </c>
      <c r="L2878" s="119">
        <v>61.52</v>
      </c>
      <c r="M2878" s="110">
        <f>IF(L2878="",I2878,(MIN(J2878,(L2878*1.6*J2878))))</f>
        <v>645</v>
      </c>
      <c r="N2878" s="111">
        <f>IF(M2878=0,0,(M2878/J2878))</f>
        <v>1</v>
      </c>
    </row>
    <row r="2879" spans="2:14">
      <c r="B2879" s="72">
        <v>127814</v>
      </c>
      <c r="C2879" s="23" t="s">
        <v>2448</v>
      </c>
      <c r="D2879" s="123">
        <f>SUMIF(B$3:B$3844,B2879,M$3:M$3844)/(SUMIF(B$3:B$3844,B2879,J$3:J$3844))</f>
        <v>0.82795063940702129</v>
      </c>
      <c r="E2879" s="47">
        <v>16082382</v>
      </c>
      <c r="F2879" s="48" t="s">
        <v>1278</v>
      </c>
      <c r="G2879" s="117"/>
      <c r="H2879" s="117"/>
      <c r="I2879" s="40"/>
      <c r="J2879" s="40"/>
      <c r="K2879" s="118"/>
      <c r="L2879" s="119"/>
      <c r="M2879" s="110">
        <f>IF(L2879="",I2879,(MIN(J2879,(L2879*1.6*J2879))))</f>
        <v>0</v>
      </c>
      <c r="N2879" s="111">
        <f>IF(M2879=0,0,(M2879/J2879))</f>
        <v>0</v>
      </c>
    </row>
    <row r="2880" spans="2:14">
      <c r="B2880" s="73">
        <v>127814</v>
      </c>
      <c r="C2880" s="23" t="s">
        <v>2448</v>
      </c>
      <c r="D2880" s="123">
        <f>SUMIF(B$3:B$3844,B2880,M$3:M$3844)/(SUMIF(B$3:B$3844,B2880,J$3:J$3844))</f>
        <v>0.82795063940702129</v>
      </c>
      <c r="E2880" s="47">
        <v>38118</v>
      </c>
      <c r="F2880" s="48" t="s">
        <v>1279</v>
      </c>
      <c r="G2880" s="117" t="s">
        <v>1093</v>
      </c>
      <c r="H2880" s="117"/>
      <c r="I2880" s="40"/>
      <c r="J2880" s="40">
        <v>516</v>
      </c>
      <c r="K2880" s="118">
        <v>2015</v>
      </c>
      <c r="L2880" s="119">
        <v>61.52</v>
      </c>
      <c r="M2880" s="110">
        <f>IF(L2880="",I2880,(MIN(J2880,(L2880*1.6*J2880))))</f>
        <v>516</v>
      </c>
      <c r="N2880" s="111">
        <f>IF(M2880=0,0,(M2880/J2880))</f>
        <v>1</v>
      </c>
    </row>
    <row r="2881" spans="2:14">
      <c r="B2881" s="72">
        <v>127814</v>
      </c>
      <c r="C2881" s="23" t="s">
        <v>2448</v>
      </c>
      <c r="D2881" s="123">
        <f>SUMIF(B$3:B$3844,B2881,M$3:M$3844)/(SUMIF(B$3:B$3844,B2881,J$3:J$3844))</f>
        <v>0.82795063940702129</v>
      </c>
      <c r="E2881" s="47">
        <v>38090</v>
      </c>
      <c r="F2881" s="48" t="s">
        <v>1280</v>
      </c>
      <c r="G2881" s="117" t="s">
        <v>1094</v>
      </c>
      <c r="H2881" s="117"/>
      <c r="I2881" s="40"/>
      <c r="J2881" s="40">
        <v>0</v>
      </c>
      <c r="K2881" s="118"/>
      <c r="L2881" s="119"/>
      <c r="M2881" s="110">
        <f>IF(L2881="",I2881,(MIN(J2881,(L2881*1.6*J2881))))</f>
        <v>0</v>
      </c>
      <c r="N2881" s="111">
        <f>IF(M2881=0,0,(M2881/J2881))</f>
        <v>0</v>
      </c>
    </row>
    <row r="2882" spans="2:14">
      <c r="B2882" s="73">
        <v>127814</v>
      </c>
      <c r="C2882" s="23" t="s">
        <v>2448</v>
      </c>
      <c r="D2882" s="123">
        <f>SUMIF(B$3:B$3844,B2882,M$3:M$3844)/(SUMIF(B$3:B$3844,B2882,J$3:J$3844))</f>
        <v>0.82795063940702129</v>
      </c>
      <c r="E2882" s="47">
        <v>38129</v>
      </c>
      <c r="F2882" s="48" t="s">
        <v>1281</v>
      </c>
      <c r="G2882" s="117" t="s">
        <v>1095</v>
      </c>
      <c r="H2882" s="117"/>
      <c r="I2882" s="40"/>
      <c r="J2882" s="40">
        <v>875</v>
      </c>
      <c r="K2882" s="118">
        <v>2015</v>
      </c>
      <c r="L2882" s="119">
        <v>61.52</v>
      </c>
      <c r="M2882" s="110">
        <f>IF(L2882="",I2882,(MIN(J2882,(L2882*1.6*J2882))))</f>
        <v>875</v>
      </c>
      <c r="N2882" s="111">
        <f>IF(M2882=0,0,(M2882/J2882))</f>
        <v>1</v>
      </c>
    </row>
    <row r="2883" spans="2:14">
      <c r="B2883" s="72">
        <v>127814</v>
      </c>
      <c r="C2883" s="23" t="s">
        <v>2448</v>
      </c>
      <c r="D2883" s="123">
        <f>SUMIF(B$3:B$3844,B2883,M$3:M$3844)/(SUMIF(B$3:B$3844,B2883,J$3:J$3844))</f>
        <v>0.82795063940702129</v>
      </c>
      <c r="E2883" s="47">
        <v>38060</v>
      </c>
      <c r="F2883" s="48" t="s">
        <v>1282</v>
      </c>
      <c r="G2883" s="117" t="s">
        <v>1096</v>
      </c>
      <c r="H2883" s="117"/>
      <c r="I2883" s="40"/>
      <c r="J2883" s="40">
        <v>548</v>
      </c>
      <c r="K2883" s="118">
        <v>2015</v>
      </c>
      <c r="L2883" s="119">
        <v>61.52</v>
      </c>
      <c r="M2883" s="110">
        <f>IF(L2883="",I2883,(MIN(J2883,(L2883*1.6*J2883))))</f>
        <v>548</v>
      </c>
      <c r="N2883" s="111">
        <f>IF(M2883=0,0,(M2883/J2883))</f>
        <v>1</v>
      </c>
    </row>
    <row r="2884" spans="2:14">
      <c r="B2884" s="73">
        <v>127814</v>
      </c>
      <c r="C2884" s="23" t="s">
        <v>2448</v>
      </c>
      <c r="D2884" s="123">
        <f>SUMIF(B$3:B$3844,B2884,M$3:M$3844)/(SUMIF(B$3:B$3844,B2884,J$3:J$3844))</f>
        <v>0.82795063940702129</v>
      </c>
      <c r="E2884" s="47">
        <v>38193</v>
      </c>
      <c r="F2884" s="48" t="s">
        <v>1283</v>
      </c>
      <c r="G2884" s="117" t="s">
        <v>1097</v>
      </c>
      <c r="H2884" s="117"/>
      <c r="I2884" s="40"/>
      <c r="J2884" s="40">
        <v>656</v>
      </c>
      <c r="K2884" s="118">
        <v>2015</v>
      </c>
      <c r="L2884" s="119">
        <v>61.52</v>
      </c>
      <c r="M2884" s="110">
        <f>IF(L2884="",I2884,(MIN(J2884,(L2884*1.6*J2884))))</f>
        <v>656</v>
      </c>
      <c r="N2884" s="111">
        <f>IF(M2884=0,0,(M2884/J2884))</f>
        <v>1</v>
      </c>
    </row>
    <row r="2885" spans="2:14">
      <c r="B2885" s="72">
        <v>127814</v>
      </c>
      <c r="C2885" s="23" t="s">
        <v>2448</v>
      </c>
      <c r="D2885" s="123">
        <f>SUMIF(B$3:B$3844,B2885,M$3:M$3844)/(SUMIF(B$3:B$3844,B2885,J$3:J$3844))</f>
        <v>0.82795063940702129</v>
      </c>
      <c r="E2885" s="47">
        <v>38109</v>
      </c>
      <c r="F2885" s="48" t="s">
        <v>1098</v>
      </c>
      <c r="G2885" s="117" t="s">
        <v>1099</v>
      </c>
      <c r="H2885" s="117"/>
      <c r="I2885" s="40"/>
      <c r="J2885" s="40">
        <v>553</v>
      </c>
      <c r="K2885" s="118">
        <v>2015</v>
      </c>
      <c r="L2885" s="119">
        <v>61.52</v>
      </c>
      <c r="M2885" s="110">
        <f>IF(L2885="",I2885,(MIN(J2885,(L2885*1.6*J2885))))</f>
        <v>553</v>
      </c>
      <c r="N2885" s="111">
        <f>IF(M2885=0,0,(M2885/J2885))</f>
        <v>1</v>
      </c>
    </row>
    <row r="2886" spans="2:14">
      <c r="B2886" s="73">
        <v>127814</v>
      </c>
      <c r="C2886" s="23" t="s">
        <v>2448</v>
      </c>
      <c r="D2886" s="123">
        <f>SUMIF(B$3:B$3844,B2886,M$3:M$3844)/(SUMIF(B$3:B$3844,B2886,J$3:J$3844))</f>
        <v>0.82795063940702129</v>
      </c>
      <c r="E2886" s="47">
        <v>38120</v>
      </c>
      <c r="F2886" s="48" t="s">
        <v>1100</v>
      </c>
      <c r="G2886" s="117" t="s">
        <v>1101</v>
      </c>
      <c r="H2886" s="117"/>
      <c r="I2886" s="40"/>
      <c r="J2886" s="40">
        <v>724</v>
      </c>
      <c r="K2886" s="118">
        <v>2015</v>
      </c>
      <c r="L2886" s="119">
        <v>61.52</v>
      </c>
      <c r="M2886" s="110">
        <f>IF(L2886="",I2886,(MIN(J2886,(L2886*1.6*J2886))))</f>
        <v>724</v>
      </c>
      <c r="N2886" s="111">
        <f>IF(M2886=0,0,(M2886/J2886))</f>
        <v>1</v>
      </c>
    </row>
    <row r="2887" spans="2:14">
      <c r="B2887" s="72">
        <v>127814</v>
      </c>
      <c r="C2887" s="23" t="s">
        <v>2448</v>
      </c>
      <c r="D2887" s="123">
        <f>SUMIF(B$3:B$3844,B2887,M$3:M$3844)/(SUMIF(B$3:B$3844,B2887,J$3:J$3844))</f>
        <v>0.82795063940702129</v>
      </c>
      <c r="E2887" s="47">
        <v>38180</v>
      </c>
      <c r="F2887" s="48" t="s">
        <v>1284</v>
      </c>
      <c r="G2887" s="117" t="s">
        <v>1102</v>
      </c>
      <c r="H2887" s="117"/>
      <c r="I2887" s="40">
        <v>207</v>
      </c>
      <c r="J2887" s="40">
        <v>548</v>
      </c>
      <c r="K2887" s="118"/>
      <c r="L2887" s="119"/>
      <c r="M2887" s="110">
        <f>IF(L2887="",I2887,(MIN(J2887,(L2887*1.6*J2887))))</f>
        <v>207</v>
      </c>
      <c r="N2887" s="111">
        <f>IF(M2887=0,0,(M2887/J2887))</f>
        <v>0.37773722627737227</v>
      </c>
    </row>
    <row r="2888" spans="2:14">
      <c r="B2888" s="73">
        <v>127814</v>
      </c>
      <c r="C2888" s="23" t="s">
        <v>2448</v>
      </c>
      <c r="D2888" s="123">
        <f>SUMIF(B$3:B$3844,B2888,M$3:M$3844)/(SUMIF(B$3:B$3844,B2888,J$3:J$3844))</f>
        <v>0.82795063940702129</v>
      </c>
      <c r="E2888" s="47">
        <v>38188</v>
      </c>
      <c r="F2888" s="48" t="s">
        <v>1103</v>
      </c>
      <c r="G2888" s="117" t="s">
        <v>1104</v>
      </c>
      <c r="H2888" s="117"/>
      <c r="I2888" s="40"/>
      <c r="J2888" s="40">
        <v>672</v>
      </c>
      <c r="K2888" s="118">
        <v>2015</v>
      </c>
      <c r="L2888" s="119">
        <v>61.52</v>
      </c>
      <c r="M2888" s="110">
        <f>IF(L2888="",I2888,(MIN(J2888,(L2888*1.6*J2888))))</f>
        <v>672</v>
      </c>
      <c r="N2888" s="111">
        <f>IF(M2888=0,0,(M2888/J2888))</f>
        <v>1</v>
      </c>
    </row>
    <row r="2889" spans="2:14">
      <c r="B2889" s="72">
        <v>127814</v>
      </c>
      <c r="C2889" s="23" t="s">
        <v>2448</v>
      </c>
      <c r="D2889" s="123">
        <f>SUMIF(B$3:B$3844,B2889,M$3:M$3844)/(SUMIF(B$3:B$3844,B2889,J$3:J$3844))</f>
        <v>0.82795063940702129</v>
      </c>
      <c r="E2889" s="47">
        <v>38125</v>
      </c>
      <c r="F2889" s="48" t="s">
        <v>1285</v>
      </c>
      <c r="G2889" s="117" t="s">
        <v>1105</v>
      </c>
      <c r="H2889" s="117"/>
      <c r="I2889" s="40"/>
      <c r="J2889" s="40">
        <v>430</v>
      </c>
      <c r="K2889" s="118">
        <v>2015</v>
      </c>
      <c r="L2889" s="119">
        <v>61.52</v>
      </c>
      <c r="M2889" s="110">
        <f>IF(L2889="",I2889,(MIN(J2889,(L2889*1.6*J2889))))</f>
        <v>430</v>
      </c>
      <c r="N2889" s="111">
        <f>IF(M2889=0,0,(M2889/J2889))</f>
        <v>1</v>
      </c>
    </row>
    <row r="2890" spans="2:14">
      <c r="B2890" s="73">
        <v>127814</v>
      </c>
      <c r="C2890" s="23" t="s">
        <v>2448</v>
      </c>
      <c r="D2890" s="123">
        <f>SUMIF(B$3:B$3844,B2890,M$3:M$3844)/(SUMIF(B$3:B$3844,B2890,J$3:J$3844))</f>
        <v>0.82795063940702129</v>
      </c>
      <c r="E2890" s="47">
        <v>38126</v>
      </c>
      <c r="F2890" s="48" t="s">
        <v>1286</v>
      </c>
      <c r="G2890" s="117" t="s">
        <v>1106</v>
      </c>
      <c r="H2890" s="117"/>
      <c r="I2890" s="40"/>
      <c r="J2890" s="40">
        <v>1064</v>
      </c>
      <c r="K2890" s="118">
        <v>2015</v>
      </c>
      <c r="L2890" s="119">
        <v>61.52</v>
      </c>
      <c r="M2890" s="110">
        <f>IF(L2890="",I2890,(MIN(J2890,(L2890*1.6*J2890))))</f>
        <v>1064</v>
      </c>
      <c r="N2890" s="111">
        <f>IF(M2890=0,0,(M2890/J2890))</f>
        <v>1</v>
      </c>
    </row>
    <row r="2891" spans="2:14">
      <c r="B2891" s="72">
        <v>127814</v>
      </c>
      <c r="C2891" s="23" t="s">
        <v>2448</v>
      </c>
      <c r="D2891" s="123">
        <f>SUMIF(B$3:B$3844,B2891,M$3:M$3844)/(SUMIF(B$3:B$3844,B2891,J$3:J$3844))</f>
        <v>0.82795063940702129</v>
      </c>
      <c r="E2891" s="47">
        <v>38196</v>
      </c>
      <c r="F2891" s="48" t="s">
        <v>1287</v>
      </c>
      <c r="G2891" s="117" t="s">
        <v>1107</v>
      </c>
      <c r="H2891" s="117"/>
      <c r="I2891" s="40"/>
      <c r="J2891" s="40">
        <v>570</v>
      </c>
      <c r="K2891" s="118">
        <v>2015</v>
      </c>
      <c r="L2891" s="119">
        <v>61.52</v>
      </c>
      <c r="M2891" s="110">
        <f>IF(L2891="",I2891,(MIN(J2891,(L2891*1.6*J2891))))</f>
        <v>570</v>
      </c>
      <c r="N2891" s="111">
        <f>IF(M2891=0,0,(M2891/J2891))</f>
        <v>1</v>
      </c>
    </row>
    <row r="2892" spans="2:14">
      <c r="B2892" s="73">
        <v>127814</v>
      </c>
      <c r="C2892" s="23" t="s">
        <v>2448</v>
      </c>
      <c r="D2892" s="123">
        <f>SUMIF(B$3:B$3844,B2892,M$3:M$3844)/(SUMIF(B$3:B$3844,B2892,J$3:J$3844))</f>
        <v>0.82795063940702129</v>
      </c>
      <c r="E2892" s="47">
        <v>38101</v>
      </c>
      <c r="F2892" s="48" t="s">
        <v>1288</v>
      </c>
      <c r="G2892" s="117" t="s">
        <v>1108</v>
      </c>
      <c r="H2892" s="117"/>
      <c r="I2892" s="40"/>
      <c r="J2892" s="40">
        <v>186</v>
      </c>
      <c r="K2892" s="118">
        <v>2015</v>
      </c>
      <c r="L2892" s="119">
        <v>61.52</v>
      </c>
      <c r="M2892" s="110">
        <f>IF(L2892="",I2892,(MIN(J2892,(L2892*1.6*J2892))))</f>
        <v>186</v>
      </c>
      <c r="N2892" s="111">
        <f>IF(M2892=0,0,(M2892/J2892))</f>
        <v>1</v>
      </c>
    </row>
    <row r="2893" spans="2:14">
      <c r="B2893" s="72">
        <v>127814</v>
      </c>
      <c r="C2893" s="23" t="s">
        <v>2448</v>
      </c>
      <c r="D2893" s="123">
        <f>SUMIF(B$3:B$3844,B2893,M$3:M$3844)/(SUMIF(B$3:B$3844,B2893,J$3:J$3844))</f>
        <v>0.82795063940702129</v>
      </c>
      <c r="E2893" s="47">
        <v>38077</v>
      </c>
      <c r="F2893" s="48" t="s">
        <v>1289</v>
      </c>
      <c r="G2893" s="117" t="s">
        <v>1109</v>
      </c>
      <c r="H2893" s="117"/>
      <c r="I2893" s="40">
        <v>894</v>
      </c>
      <c r="J2893" s="40">
        <v>2320</v>
      </c>
      <c r="K2893" s="118"/>
      <c r="L2893" s="119"/>
      <c r="M2893" s="110">
        <f>IF(L2893="",I2893,(MIN(J2893,(L2893*1.6*J2893))))</f>
        <v>894</v>
      </c>
      <c r="N2893" s="111">
        <f>IF(M2893=0,0,(M2893/J2893))</f>
        <v>0.38534482758620692</v>
      </c>
    </row>
    <row r="2894" spans="2:14">
      <c r="B2894" s="73">
        <v>127814</v>
      </c>
      <c r="C2894" s="23" t="s">
        <v>2448</v>
      </c>
      <c r="D2894" s="123">
        <f>SUMIF(B$3:B$3844,B2894,M$3:M$3844)/(SUMIF(B$3:B$3844,B2894,J$3:J$3844))</f>
        <v>0.82795063940702129</v>
      </c>
      <c r="E2894" s="47">
        <v>38108</v>
      </c>
      <c r="F2894" s="48" t="s">
        <v>1110</v>
      </c>
      <c r="G2894" s="117" t="s">
        <v>1111</v>
      </c>
      <c r="H2894" s="117"/>
      <c r="I2894" s="40"/>
      <c r="J2894" s="40">
        <v>336</v>
      </c>
      <c r="K2894" s="118">
        <v>2015</v>
      </c>
      <c r="L2894" s="119">
        <v>61.52</v>
      </c>
      <c r="M2894" s="110">
        <f>IF(L2894="",I2894,(MIN(J2894,(L2894*1.6*J2894))))</f>
        <v>336</v>
      </c>
      <c r="N2894" s="111">
        <f>IF(M2894=0,0,(M2894/J2894))</f>
        <v>1</v>
      </c>
    </row>
    <row r="2895" spans="2:14">
      <c r="B2895" s="72">
        <v>127814</v>
      </c>
      <c r="C2895" s="23" t="s">
        <v>2448</v>
      </c>
      <c r="D2895" s="123">
        <f>SUMIF(B$3:B$3844,B2895,M$3:M$3844)/(SUMIF(B$3:B$3844,B2895,J$3:J$3844))</f>
        <v>0.82795063940702129</v>
      </c>
      <c r="E2895" s="47">
        <v>38067</v>
      </c>
      <c r="F2895" s="48" t="s">
        <v>89</v>
      </c>
      <c r="G2895" s="117" t="s">
        <v>1112</v>
      </c>
      <c r="H2895" s="117"/>
      <c r="I2895" s="40"/>
      <c r="J2895" s="40">
        <v>496</v>
      </c>
      <c r="K2895" s="118">
        <v>2015</v>
      </c>
      <c r="L2895" s="119">
        <v>61.52</v>
      </c>
      <c r="M2895" s="110">
        <f>IF(L2895="",I2895,(MIN(J2895,(L2895*1.6*J2895))))</f>
        <v>496</v>
      </c>
      <c r="N2895" s="111">
        <f>IF(M2895=0,0,(M2895/J2895))</f>
        <v>1</v>
      </c>
    </row>
    <row r="2896" spans="2:14">
      <c r="B2896" s="73">
        <v>127814</v>
      </c>
      <c r="C2896" s="23" t="s">
        <v>2448</v>
      </c>
      <c r="D2896" s="123">
        <f>SUMIF(B$3:B$3844,B2896,M$3:M$3844)/(SUMIF(B$3:B$3844,B2896,J$3:J$3844))</f>
        <v>0.82795063940702129</v>
      </c>
      <c r="E2896" s="47">
        <v>16082386</v>
      </c>
      <c r="F2896" s="48" t="s">
        <v>1290</v>
      </c>
      <c r="G2896" s="117"/>
      <c r="H2896" s="117"/>
      <c r="I2896" s="40"/>
      <c r="J2896" s="40" t="s">
        <v>264</v>
      </c>
      <c r="K2896" s="118"/>
      <c r="L2896" s="119"/>
      <c r="M2896" s="110">
        <f>IF(L2896="",I2896,(MIN(J2896,(L2896*1.6*J2896))))</f>
        <v>0</v>
      </c>
      <c r="N2896" s="111">
        <f>IF(M2896=0,0,(M2896/J2896))</f>
        <v>0</v>
      </c>
    </row>
    <row r="2897" spans="2:14">
      <c r="B2897" s="72">
        <v>127814</v>
      </c>
      <c r="C2897" s="23" t="s">
        <v>2448</v>
      </c>
      <c r="D2897" s="123">
        <f>SUMIF(B$3:B$3844,B2897,M$3:M$3844)/(SUMIF(B$3:B$3844,B2897,J$3:J$3844))</f>
        <v>0.82795063940702129</v>
      </c>
      <c r="E2897" s="47">
        <v>16061469</v>
      </c>
      <c r="F2897" s="48" t="s">
        <v>1291</v>
      </c>
      <c r="G2897" s="117" t="s">
        <v>1113</v>
      </c>
      <c r="H2897" s="117"/>
      <c r="I2897" s="40"/>
      <c r="J2897" s="40">
        <v>90</v>
      </c>
      <c r="K2897" s="118">
        <v>2015</v>
      </c>
      <c r="L2897" s="119">
        <v>61.52</v>
      </c>
      <c r="M2897" s="110">
        <f>IF(L2897="",I2897,(MIN(J2897,(L2897*1.6*J2897))))</f>
        <v>90</v>
      </c>
      <c r="N2897" s="111">
        <f>IF(M2897=0,0,(M2897/J2897))</f>
        <v>1</v>
      </c>
    </row>
    <row r="2898" spans="2:14">
      <c r="B2898" s="73">
        <v>127814</v>
      </c>
      <c r="C2898" s="23" t="s">
        <v>2448</v>
      </c>
      <c r="D2898" s="123">
        <f>SUMIF(B$3:B$3844,B2898,M$3:M$3844)/(SUMIF(B$3:B$3844,B2898,J$3:J$3844))</f>
        <v>0.82795063940702129</v>
      </c>
      <c r="E2898" s="47">
        <v>38133</v>
      </c>
      <c r="F2898" s="48" t="s">
        <v>1292</v>
      </c>
      <c r="G2898" s="117" t="s">
        <v>1114</v>
      </c>
      <c r="H2898" s="117"/>
      <c r="I2898" s="40"/>
      <c r="J2898" s="40">
        <v>2451</v>
      </c>
      <c r="K2898" s="118">
        <v>2015</v>
      </c>
      <c r="L2898" s="119">
        <v>61.52</v>
      </c>
      <c r="M2898" s="110">
        <f>IF(L2898="",I2898,(MIN(J2898,(L2898*1.6*J2898))))</f>
        <v>2451</v>
      </c>
      <c r="N2898" s="111">
        <f>IF(M2898=0,0,(M2898/J2898))</f>
        <v>1</v>
      </c>
    </row>
    <row r="2899" spans="2:14" ht="30">
      <c r="B2899" s="72">
        <v>127814</v>
      </c>
      <c r="C2899" s="23" t="s">
        <v>2448</v>
      </c>
      <c r="D2899" s="123">
        <f>SUMIF(B$3:B$3844,B2899,M$3:M$3844)/(SUMIF(B$3:B$3844,B2899,J$3:J$3844))</f>
        <v>0.82795063940702129</v>
      </c>
      <c r="E2899" s="47">
        <v>38133</v>
      </c>
      <c r="F2899" s="48" t="s">
        <v>1115</v>
      </c>
      <c r="G2899" s="117"/>
      <c r="H2899" s="117" t="s">
        <v>1115</v>
      </c>
      <c r="I2899" s="40"/>
      <c r="J2899" s="40"/>
      <c r="K2899" s="118">
        <v>2015</v>
      </c>
      <c r="L2899" s="119">
        <v>61.52</v>
      </c>
      <c r="M2899" s="110">
        <f>IF(L2899="",I2899,(MIN(J2899,(L2899*1.6*J2899))))</f>
        <v>0</v>
      </c>
      <c r="N2899" s="111">
        <f>IF(M2899=0,0,(M2899/J2899))</f>
        <v>0</v>
      </c>
    </row>
    <row r="2900" spans="2:14">
      <c r="B2900" s="73">
        <v>127814</v>
      </c>
      <c r="C2900" s="23" t="s">
        <v>2448</v>
      </c>
      <c r="D2900" s="123">
        <f>SUMIF(B$3:B$3844,B2900,M$3:M$3844)/(SUMIF(B$3:B$3844,B2900,J$3:J$3844))</f>
        <v>0.82795063940702129</v>
      </c>
      <c r="E2900" s="47">
        <v>16082558</v>
      </c>
      <c r="F2900" s="48" t="s">
        <v>1293</v>
      </c>
      <c r="G2900" s="117" t="s">
        <v>1116</v>
      </c>
      <c r="H2900" s="117"/>
      <c r="I2900" s="40"/>
      <c r="J2900" s="40">
        <v>239</v>
      </c>
      <c r="K2900" s="118">
        <v>2015</v>
      </c>
      <c r="L2900" s="119">
        <v>61.52</v>
      </c>
      <c r="M2900" s="110">
        <f>IF(L2900="",I2900,(MIN(J2900,(L2900*1.6*J2900))))</f>
        <v>239</v>
      </c>
      <c r="N2900" s="111">
        <f>IF(M2900=0,0,(M2900/J2900))</f>
        <v>1</v>
      </c>
    </row>
    <row r="2901" spans="2:14">
      <c r="B2901" s="72">
        <v>127814</v>
      </c>
      <c r="C2901" s="23" t="s">
        <v>2448</v>
      </c>
      <c r="D2901" s="123">
        <f>SUMIF(B$3:B$3844,B2901,M$3:M$3844)/(SUMIF(B$3:B$3844,B2901,J$3:J$3844))</f>
        <v>0.82795063940702129</v>
      </c>
      <c r="E2901" s="47">
        <v>16082387</v>
      </c>
      <c r="F2901" s="48" t="s">
        <v>1294</v>
      </c>
      <c r="G2901" s="117"/>
      <c r="H2901" s="117"/>
      <c r="I2901" s="40"/>
      <c r="J2901" s="40" t="s">
        <v>264</v>
      </c>
      <c r="K2901" s="118"/>
      <c r="L2901" s="119"/>
      <c r="M2901" s="110">
        <f>IF(L2901="",I2901,(MIN(J2901,(L2901*1.6*J2901))))</f>
        <v>0</v>
      </c>
      <c r="N2901" s="111">
        <f>IF(M2901=0,0,(M2901/J2901))</f>
        <v>0</v>
      </c>
    </row>
    <row r="2902" spans="2:14">
      <c r="B2902" s="73">
        <v>127814</v>
      </c>
      <c r="C2902" s="23" t="s">
        <v>2448</v>
      </c>
      <c r="D2902" s="123">
        <f>SUMIF(B$3:B$3844,B2902,M$3:M$3844)/(SUMIF(B$3:B$3844,B2902,J$3:J$3844))</f>
        <v>0.82795063940702129</v>
      </c>
      <c r="E2902" s="47">
        <v>38135</v>
      </c>
      <c r="F2902" s="48" t="s">
        <v>1117</v>
      </c>
      <c r="G2902" s="117" t="s">
        <v>1118</v>
      </c>
      <c r="H2902" s="117"/>
      <c r="I2902" s="40"/>
      <c r="J2902" s="40">
        <v>440</v>
      </c>
      <c r="K2902" s="118">
        <v>2015</v>
      </c>
      <c r="L2902" s="119">
        <v>61.52</v>
      </c>
      <c r="M2902" s="110">
        <f>IF(L2902="",I2902,(MIN(J2902,(L2902*1.6*J2902))))</f>
        <v>440</v>
      </c>
      <c r="N2902" s="111">
        <f>IF(M2902=0,0,(M2902/J2902))</f>
        <v>1</v>
      </c>
    </row>
    <row r="2903" spans="2:14">
      <c r="B2903" s="72">
        <v>127814</v>
      </c>
      <c r="C2903" s="23" t="s">
        <v>2448</v>
      </c>
      <c r="D2903" s="123">
        <f>SUMIF(B$3:B$3844,B2903,M$3:M$3844)/(SUMIF(B$3:B$3844,B2903,J$3:J$3844))</f>
        <v>0.82795063940702129</v>
      </c>
      <c r="E2903" s="47">
        <v>16044333</v>
      </c>
      <c r="F2903" s="48" t="s">
        <v>1119</v>
      </c>
      <c r="G2903" s="117" t="s">
        <v>1120</v>
      </c>
      <c r="H2903" s="117"/>
      <c r="I2903" s="40"/>
      <c r="J2903" s="40">
        <v>749</v>
      </c>
      <c r="K2903" s="118">
        <v>2015</v>
      </c>
      <c r="L2903" s="119">
        <v>61.52</v>
      </c>
      <c r="M2903" s="110">
        <f>IF(L2903="",I2903,(MIN(J2903,(L2903*1.6*J2903))))</f>
        <v>749</v>
      </c>
      <c r="N2903" s="111">
        <f>IF(M2903=0,0,(M2903/J2903))</f>
        <v>1</v>
      </c>
    </row>
    <row r="2904" spans="2:14">
      <c r="B2904" s="73">
        <v>127814</v>
      </c>
      <c r="C2904" s="23" t="s">
        <v>2448</v>
      </c>
      <c r="D2904" s="123">
        <f>SUMIF(B$3:B$3844,B2904,M$3:M$3844)/(SUMIF(B$3:B$3844,B2904,J$3:J$3844))</f>
        <v>0.82795063940702129</v>
      </c>
      <c r="E2904" s="47">
        <v>16044337</v>
      </c>
      <c r="F2904" s="48" t="s">
        <v>1295</v>
      </c>
      <c r="G2904" s="117" t="s">
        <v>1121</v>
      </c>
      <c r="H2904" s="117"/>
      <c r="I2904" s="40"/>
      <c r="J2904" s="40">
        <v>1378</v>
      </c>
      <c r="K2904" s="118">
        <v>2015</v>
      </c>
      <c r="L2904" s="119">
        <v>61.52</v>
      </c>
      <c r="M2904" s="110">
        <f>IF(L2904="",I2904,(MIN(J2904,(L2904*1.6*J2904))))</f>
        <v>1378</v>
      </c>
      <c r="N2904" s="111">
        <f>IF(M2904=0,0,(M2904/J2904))</f>
        <v>1</v>
      </c>
    </row>
    <row r="2905" spans="2:14">
      <c r="B2905" s="72">
        <v>127814</v>
      </c>
      <c r="C2905" s="23" t="s">
        <v>2448</v>
      </c>
      <c r="D2905" s="123">
        <f>SUMIF(B$3:B$3844,B2905,M$3:M$3844)/(SUMIF(B$3:B$3844,B2905,J$3:J$3844))</f>
        <v>0.82795063940702129</v>
      </c>
      <c r="E2905" s="47">
        <v>16082557</v>
      </c>
      <c r="F2905" s="48" t="s">
        <v>1296</v>
      </c>
      <c r="G2905" s="117" t="s">
        <v>1122</v>
      </c>
      <c r="H2905" s="117"/>
      <c r="I2905" s="40">
        <v>17</v>
      </c>
      <c r="J2905" s="40">
        <v>83</v>
      </c>
      <c r="K2905" s="118"/>
      <c r="L2905" s="119"/>
      <c r="M2905" s="110">
        <f>IF(L2905="",I2905,(MIN(J2905,(L2905*1.6*J2905))))</f>
        <v>17</v>
      </c>
      <c r="N2905" s="111">
        <f>IF(M2905=0,0,(M2905/J2905))</f>
        <v>0.20481927710843373</v>
      </c>
    </row>
    <row r="2906" spans="2:14">
      <c r="B2906" s="73">
        <v>127814</v>
      </c>
      <c r="C2906" s="23" t="s">
        <v>2448</v>
      </c>
      <c r="D2906" s="123">
        <f>SUMIF(B$3:B$3844,B2906,M$3:M$3844)/(SUMIF(B$3:B$3844,B2906,J$3:J$3844))</f>
        <v>0.82795063940702129</v>
      </c>
      <c r="E2906" s="47">
        <v>38178</v>
      </c>
      <c r="F2906" s="48" t="s">
        <v>1297</v>
      </c>
      <c r="G2906" s="117" t="s">
        <v>1123</v>
      </c>
      <c r="H2906" s="117"/>
      <c r="I2906" s="40"/>
      <c r="J2906" s="40">
        <v>408</v>
      </c>
      <c r="K2906" s="118">
        <v>2015</v>
      </c>
      <c r="L2906" s="119">
        <v>61.52</v>
      </c>
      <c r="M2906" s="110">
        <f>IF(L2906="",I2906,(MIN(J2906,(L2906*1.6*J2906))))</f>
        <v>408</v>
      </c>
      <c r="N2906" s="111">
        <f>IF(M2906=0,0,(M2906/J2906))</f>
        <v>1</v>
      </c>
    </row>
    <row r="2907" spans="2:14">
      <c r="B2907" s="72">
        <v>127814</v>
      </c>
      <c r="C2907" s="23" t="s">
        <v>2448</v>
      </c>
      <c r="D2907" s="123">
        <f>SUMIF(B$3:B$3844,B2907,M$3:M$3844)/(SUMIF(B$3:B$3844,B2907,J$3:J$3844))</f>
        <v>0.82795063940702129</v>
      </c>
      <c r="E2907" s="47">
        <v>38100</v>
      </c>
      <c r="F2907" s="48" t="s">
        <v>1124</v>
      </c>
      <c r="G2907" s="117" t="s">
        <v>1125</v>
      </c>
      <c r="H2907" s="117"/>
      <c r="I2907" s="40"/>
      <c r="J2907" s="40">
        <v>351</v>
      </c>
      <c r="K2907" s="118">
        <v>2015</v>
      </c>
      <c r="L2907" s="119">
        <v>61.52</v>
      </c>
      <c r="M2907" s="110">
        <f>IF(L2907="",I2907,(MIN(J2907,(L2907*1.6*J2907))))</f>
        <v>351</v>
      </c>
      <c r="N2907" s="111">
        <f>IF(M2907=0,0,(M2907/J2907))</f>
        <v>1</v>
      </c>
    </row>
    <row r="2908" spans="2:14">
      <c r="B2908" s="73">
        <v>127814</v>
      </c>
      <c r="C2908" s="23" t="s">
        <v>2448</v>
      </c>
      <c r="D2908" s="123">
        <f>SUMIF(B$3:B$3844,B2908,M$3:M$3844)/(SUMIF(B$3:B$3844,B2908,J$3:J$3844))</f>
        <v>0.82795063940702129</v>
      </c>
      <c r="E2908" s="47">
        <v>38069</v>
      </c>
      <c r="F2908" s="48" t="s">
        <v>1126</v>
      </c>
      <c r="G2908" s="117" t="s">
        <v>1127</v>
      </c>
      <c r="H2908" s="117"/>
      <c r="I2908" s="40">
        <v>490</v>
      </c>
      <c r="J2908" s="40">
        <v>853</v>
      </c>
      <c r="K2908" s="118"/>
      <c r="L2908" s="119"/>
      <c r="M2908" s="110">
        <f>IF(L2908="",I2908,(MIN(J2908,(L2908*1.6*J2908))))</f>
        <v>490</v>
      </c>
      <c r="N2908" s="111">
        <f>IF(M2908=0,0,(M2908/J2908))</f>
        <v>0.57444314185228607</v>
      </c>
    </row>
    <row r="2909" spans="2:14">
      <c r="B2909" s="72">
        <v>127814</v>
      </c>
      <c r="C2909" s="23" t="s">
        <v>2448</v>
      </c>
      <c r="D2909" s="123">
        <f>SUMIF(B$3:B$3844,B2909,M$3:M$3844)/(SUMIF(B$3:B$3844,B2909,J$3:J$3844))</f>
        <v>0.82795063940702129</v>
      </c>
      <c r="E2909" s="47">
        <v>38105</v>
      </c>
      <c r="F2909" s="48" t="s">
        <v>1298</v>
      </c>
      <c r="G2909" s="117" t="s">
        <v>1128</v>
      </c>
      <c r="H2909" s="117"/>
      <c r="I2909" s="40"/>
      <c r="J2909" s="40">
        <v>88</v>
      </c>
      <c r="K2909" s="118">
        <v>2015</v>
      </c>
      <c r="L2909" s="119">
        <v>61.52</v>
      </c>
      <c r="M2909" s="110">
        <f>IF(L2909="",I2909,(MIN(J2909,(L2909*1.6*J2909))))</f>
        <v>88</v>
      </c>
      <c r="N2909" s="111">
        <f>IF(M2909=0,0,(M2909/J2909))</f>
        <v>1</v>
      </c>
    </row>
    <row r="2910" spans="2:14">
      <c r="B2910" s="73">
        <v>127814</v>
      </c>
      <c r="C2910" s="23" t="s">
        <v>2448</v>
      </c>
      <c r="D2910" s="123">
        <f>SUMIF(B$3:B$3844,B2910,M$3:M$3844)/(SUMIF(B$3:B$3844,B2910,J$3:J$3844))</f>
        <v>0.82795063940702129</v>
      </c>
      <c r="E2910" s="47">
        <v>38086</v>
      </c>
      <c r="F2910" s="48" t="s">
        <v>1299</v>
      </c>
      <c r="G2910" s="117" t="s">
        <v>1129</v>
      </c>
      <c r="H2910" s="117"/>
      <c r="I2910" s="40"/>
      <c r="J2910" s="40">
        <v>889</v>
      </c>
      <c r="K2910" s="118">
        <v>2015</v>
      </c>
      <c r="L2910" s="119">
        <v>61.52</v>
      </c>
      <c r="M2910" s="110">
        <f>IF(L2910="",I2910,(MIN(J2910,(L2910*1.6*J2910))))</f>
        <v>889</v>
      </c>
      <c r="N2910" s="111">
        <f>IF(M2910=0,0,(M2910/J2910))</f>
        <v>1</v>
      </c>
    </row>
    <row r="2911" spans="2:14">
      <c r="B2911" s="72">
        <v>127814</v>
      </c>
      <c r="C2911" s="23" t="s">
        <v>2448</v>
      </c>
      <c r="D2911" s="123">
        <f>SUMIF(B$3:B$3844,B2911,M$3:M$3844)/(SUMIF(B$3:B$3844,B2911,J$3:J$3844))</f>
        <v>0.82795063940702129</v>
      </c>
      <c r="E2911" s="47">
        <v>38081</v>
      </c>
      <c r="F2911" s="48" t="s">
        <v>1300</v>
      </c>
      <c r="G2911" s="117" t="s">
        <v>1130</v>
      </c>
      <c r="H2911" s="117"/>
      <c r="I2911" s="40"/>
      <c r="J2911" s="40">
        <v>621</v>
      </c>
      <c r="K2911" s="118">
        <v>2015</v>
      </c>
      <c r="L2911" s="119">
        <v>61.52</v>
      </c>
      <c r="M2911" s="110">
        <f>IF(L2911="",I2911,(MIN(J2911,(L2911*1.6*J2911))))</f>
        <v>621</v>
      </c>
      <c r="N2911" s="111">
        <f>IF(M2911=0,0,(M2911/J2911))</f>
        <v>1</v>
      </c>
    </row>
    <row r="2912" spans="2:14">
      <c r="B2912" s="73">
        <v>127814</v>
      </c>
      <c r="C2912" s="23" t="s">
        <v>2448</v>
      </c>
      <c r="D2912" s="123">
        <f>SUMIF(B$3:B$3844,B2912,M$3:M$3844)/(SUMIF(B$3:B$3844,B2912,J$3:J$3844))</f>
        <v>0.82795063940702129</v>
      </c>
      <c r="E2912" s="47">
        <v>38187</v>
      </c>
      <c r="F2912" s="48" t="s">
        <v>1301</v>
      </c>
      <c r="G2912" s="117" t="s">
        <v>1131</v>
      </c>
      <c r="H2912" s="117"/>
      <c r="I2912" s="40">
        <v>253</v>
      </c>
      <c r="J2912" s="40">
        <v>623</v>
      </c>
      <c r="K2912" s="118"/>
      <c r="L2912" s="119"/>
      <c r="M2912" s="110">
        <f>IF(L2912="",I2912,(MIN(J2912,(L2912*1.6*J2912))))</f>
        <v>253</v>
      </c>
      <c r="N2912" s="111">
        <f>IF(M2912=0,0,(M2912/J2912))</f>
        <v>0.406099518459069</v>
      </c>
    </row>
    <row r="2913" spans="2:14">
      <c r="B2913" s="72">
        <v>127814</v>
      </c>
      <c r="C2913" s="23" t="s">
        <v>2448</v>
      </c>
      <c r="D2913" s="123">
        <f>SUMIF(B$3:B$3844,B2913,M$3:M$3844)/(SUMIF(B$3:B$3844,B2913,J$3:J$3844))</f>
        <v>0.82795063940702129</v>
      </c>
      <c r="E2913" s="47">
        <v>38186</v>
      </c>
      <c r="F2913" s="48" t="s">
        <v>1302</v>
      </c>
      <c r="G2913" s="117" t="s">
        <v>1132</v>
      </c>
      <c r="H2913" s="117"/>
      <c r="I2913" s="40">
        <v>394</v>
      </c>
      <c r="J2913" s="40">
        <v>746</v>
      </c>
      <c r="K2913" s="118"/>
      <c r="L2913" s="119"/>
      <c r="M2913" s="110">
        <f>IF(L2913="",I2913,(MIN(J2913,(L2913*1.6*J2913))))</f>
        <v>394</v>
      </c>
      <c r="N2913" s="111">
        <f>IF(M2913=0,0,(M2913/J2913))</f>
        <v>0.52815013404825739</v>
      </c>
    </row>
    <row r="2914" spans="2:14">
      <c r="B2914" s="73">
        <v>127814</v>
      </c>
      <c r="C2914" s="23" t="s">
        <v>2448</v>
      </c>
      <c r="D2914" s="123">
        <f>SUMIF(B$3:B$3844,B2914,M$3:M$3844)/(SUMIF(B$3:B$3844,B2914,J$3:J$3844))</f>
        <v>0.82795063940702129</v>
      </c>
      <c r="E2914" s="47">
        <v>16082389</v>
      </c>
      <c r="F2914" s="48" t="s">
        <v>1133</v>
      </c>
      <c r="G2914" s="117"/>
      <c r="H2914" s="117"/>
      <c r="I2914" s="40"/>
      <c r="J2914" s="40" t="s">
        <v>264</v>
      </c>
      <c r="K2914" s="118"/>
      <c r="L2914" s="119"/>
      <c r="M2914" s="110">
        <f>IF(L2914="",I2914,(MIN(J2914,(L2914*1.6*J2914))))</f>
        <v>0</v>
      </c>
      <c r="N2914" s="111">
        <f>IF(M2914=0,0,(M2914/J2914))</f>
        <v>0</v>
      </c>
    </row>
    <row r="2915" spans="2:14">
      <c r="B2915" s="72">
        <v>127814</v>
      </c>
      <c r="C2915" s="23" t="s">
        <v>2448</v>
      </c>
      <c r="D2915" s="123">
        <f>SUMIF(B$3:B$3844,B2915,M$3:M$3844)/(SUMIF(B$3:B$3844,B2915,J$3:J$3844))</f>
        <v>0.82795063940702129</v>
      </c>
      <c r="E2915" s="47">
        <v>38184</v>
      </c>
      <c r="F2915" s="48" t="s">
        <v>1303</v>
      </c>
      <c r="G2915" s="117" t="s">
        <v>1134</v>
      </c>
      <c r="H2915" s="117"/>
      <c r="I2915" s="40"/>
      <c r="J2915" s="40">
        <v>441</v>
      </c>
      <c r="K2915" s="118">
        <v>2015</v>
      </c>
      <c r="L2915" s="119">
        <v>61.52</v>
      </c>
      <c r="M2915" s="110">
        <f>IF(L2915="",I2915,(MIN(J2915,(L2915*1.6*J2915))))</f>
        <v>441</v>
      </c>
      <c r="N2915" s="111">
        <f>IF(M2915=0,0,(M2915/J2915))</f>
        <v>1</v>
      </c>
    </row>
    <row r="2916" spans="2:14">
      <c r="B2916" s="73">
        <v>127814</v>
      </c>
      <c r="C2916" s="23" t="s">
        <v>2448</v>
      </c>
      <c r="D2916" s="123">
        <f>SUMIF(B$3:B$3844,B2916,M$3:M$3844)/(SUMIF(B$3:B$3844,B2916,J$3:J$3844))</f>
        <v>0.82795063940702129</v>
      </c>
      <c r="E2916" s="47">
        <v>16049457</v>
      </c>
      <c r="F2916" s="48" t="s">
        <v>1304</v>
      </c>
      <c r="G2916" s="117" t="s">
        <v>1135</v>
      </c>
      <c r="H2916" s="117"/>
      <c r="I2916" s="40"/>
      <c r="J2916" s="40">
        <v>161</v>
      </c>
      <c r="K2916" s="118">
        <v>2015</v>
      </c>
      <c r="L2916" s="119">
        <v>61.52</v>
      </c>
      <c r="M2916" s="110">
        <f>IF(L2916="",I2916,(MIN(J2916,(L2916*1.6*J2916))))</f>
        <v>161</v>
      </c>
      <c r="N2916" s="111">
        <f>IF(M2916=0,0,(M2916/J2916))</f>
        <v>1</v>
      </c>
    </row>
    <row r="2917" spans="2:14">
      <c r="B2917" s="72">
        <v>127814</v>
      </c>
      <c r="C2917" s="23" t="s">
        <v>2448</v>
      </c>
      <c r="D2917" s="123">
        <f>SUMIF(B$3:B$3844,B2917,M$3:M$3844)/(SUMIF(B$3:B$3844,B2917,J$3:J$3844))</f>
        <v>0.82795063940702129</v>
      </c>
      <c r="E2917" s="47">
        <v>38063</v>
      </c>
      <c r="F2917" s="48" t="s">
        <v>1305</v>
      </c>
      <c r="G2917" s="117" t="s">
        <v>1136</v>
      </c>
      <c r="H2917" s="117"/>
      <c r="I2917" s="40"/>
      <c r="J2917" s="40">
        <v>559</v>
      </c>
      <c r="K2917" s="118">
        <v>2015</v>
      </c>
      <c r="L2917" s="119">
        <v>61.52</v>
      </c>
      <c r="M2917" s="110">
        <f>IF(L2917="",I2917,(MIN(J2917,(L2917*1.6*J2917))))</f>
        <v>559</v>
      </c>
      <c r="N2917" s="111">
        <f>IF(M2917=0,0,(M2917/J2917))</f>
        <v>1</v>
      </c>
    </row>
    <row r="2918" spans="2:14">
      <c r="B2918" s="73">
        <v>127814</v>
      </c>
      <c r="C2918" s="23" t="s">
        <v>2448</v>
      </c>
      <c r="D2918" s="123">
        <f>SUMIF(B$3:B$3844,B2918,M$3:M$3844)/(SUMIF(B$3:B$3844,B2918,J$3:J$3844))</f>
        <v>0.82795063940702129</v>
      </c>
      <c r="E2918" s="47">
        <v>38064</v>
      </c>
      <c r="F2918" s="48" t="s">
        <v>1306</v>
      </c>
      <c r="G2918" s="117" t="s">
        <v>1137</v>
      </c>
      <c r="H2918" s="117"/>
      <c r="I2918" s="40"/>
      <c r="J2918" s="40">
        <v>714</v>
      </c>
      <c r="K2918" s="118">
        <v>2015</v>
      </c>
      <c r="L2918" s="119">
        <v>61.52</v>
      </c>
      <c r="M2918" s="110">
        <f>IF(L2918="",I2918,(MIN(J2918,(L2918*1.6*J2918))))</f>
        <v>714</v>
      </c>
      <c r="N2918" s="111">
        <f>IF(M2918=0,0,(M2918/J2918))</f>
        <v>1</v>
      </c>
    </row>
    <row r="2919" spans="2:14" ht="30">
      <c r="B2919" s="72">
        <v>127814</v>
      </c>
      <c r="C2919" s="23" t="s">
        <v>2448</v>
      </c>
      <c r="D2919" s="123">
        <f>SUMIF(B$3:B$3844,B2919,M$3:M$3844)/(SUMIF(B$3:B$3844,B2919,J$3:J$3844))</f>
        <v>0.82795063940702129</v>
      </c>
      <c r="E2919" s="47">
        <v>38055</v>
      </c>
      <c r="F2919" s="48" t="s">
        <v>1307</v>
      </c>
      <c r="G2919" s="117" t="s">
        <v>1138</v>
      </c>
      <c r="H2919" s="132" t="s">
        <v>2450</v>
      </c>
      <c r="I2919" s="40"/>
      <c r="J2919" s="40">
        <v>2234</v>
      </c>
      <c r="K2919" s="118">
        <v>2015</v>
      </c>
      <c r="L2919" s="119">
        <v>61.52</v>
      </c>
      <c r="M2919" s="110">
        <f>IF(L2919="",I2919,(MIN(J2919,(L2919*1.6*J2919))))</f>
        <v>2234</v>
      </c>
      <c r="N2919" s="111">
        <f>IF(M2919=0,0,(M2919/J2919))</f>
        <v>1</v>
      </c>
    </row>
    <row r="2920" spans="2:14">
      <c r="B2920" s="73">
        <v>127814</v>
      </c>
      <c r="C2920" s="23" t="s">
        <v>2448</v>
      </c>
      <c r="D2920" s="123">
        <f>SUMIF(B$3:B$3844,B2920,M$3:M$3844)/(SUMIF(B$3:B$3844,B2920,J$3:J$3844))</f>
        <v>0.82795063940702129</v>
      </c>
      <c r="E2920" s="47">
        <v>38158</v>
      </c>
      <c r="F2920" s="48" t="s">
        <v>1308</v>
      </c>
      <c r="G2920" s="117" t="s">
        <v>1139</v>
      </c>
      <c r="H2920" s="117"/>
      <c r="I2920" s="40"/>
      <c r="J2920" s="40">
        <v>656</v>
      </c>
      <c r="K2920" s="118">
        <v>2015</v>
      </c>
      <c r="L2920" s="119">
        <v>61.52</v>
      </c>
      <c r="M2920" s="110">
        <f>IF(L2920="",I2920,(MIN(J2920,(L2920*1.6*J2920))))</f>
        <v>656</v>
      </c>
      <c r="N2920" s="111">
        <f>IF(M2920=0,0,(M2920/J2920))</f>
        <v>1</v>
      </c>
    </row>
    <row r="2921" spans="2:14">
      <c r="B2921" s="72">
        <v>127814</v>
      </c>
      <c r="C2921" s="23" t="s">
        <v>2448</v>
      </c>
      <c r="D2921" s="123">
        <f>SUMIF(B$3:B$3844,B2921,M$3:M$3844)/(SUMIF(B$3:B$3844,B2921,J$3:J$3844))</f>
        <v>0.82795063940702129</v>
      </c>
      <c r="E2921" s="47">
        <v>16082392</v>
      </c>
      <c r="F2921" s="48" t="s">
        <v>1140</v>
      </c>
      <c r="G2921" s="117"/>
      <c r="H2921" s="117"/>
      <c r="I2921" s="40"/>
      <c r="J2921" s="40" t="s">
        <v>264</v>
      </c>
      <c r="K2921" s="118"/>
      <c r="L2921" s="119"/>
      <c r="M2921" s="110">
        <f>IF(L2921="",I2921,(MIN(J2921,(L2921*1.6*J2921))))</f>
        <v>0</v>
      </c>
      <c r="N2921" s="111">
        <f>IF(M2921=0,0,(M2921/J2921))</f>
        <v>0</v>
      </c>
    </row>
    <row r="2922" spans="2:14">
      <c r="B2922" s="73">
        <v>127814</v>
      </c>
      <c r="C2922" s="23" t="s">
        <v>2448</v>
      </c>
      <c r="D2922" s="123">
        <f>SUMIF(B$3:B$3844,B2922,M$3:M$3844)/(SUMIF(B$3:B$3844,B2922,J$3:J$3844))</f>
        <v>0.82795063940702129</v>
      </c>
      <c r="E2922" s="47">
        <v>38139</v>
      </c>
      <c r="F2922" s="48" t="s">
        <v>1309</v>
      </c>
      <c r="G2922" s="117" t="s">
        <v>1141</v>
      </c>
      <c r="H2922" s="117"/>
      <c r="I2922" s="40"/>
      <c r="J2922" s="40">
        <v>562</v>
      </c>
      <c r="K2922" s="118">
        <v>2015</v>
      </c>
      <c r="L2922" s="119">
        <v>61.52</v>
      </c>
      <c r="M2922" s="110">
        <f>IF(L2922="",I2922,(MIN(J2922,(L2922*1.6*J2922))))</f>
        <v>562</v>
      </c>
      <c r="N2922" s="111">
        <f>IF(M2922=0,0,(M2922/J2922))</f>
        <v>1</v>
      </c>
    </row>
    <row r="2923" spans="2:14">
      <c r="B2923" s="72">
        <v>127814</v>
      </c>
      <c r="C2923" s="23" t="s">
        <v>2448</v>
      </c>
      <c r="D2923" s="123">
        <f>SUMIF(B$3:B$3844,B2923,M$3:M$3844)/(SUMIF(B$3:B$3844,B2923,J$3:J$3844))</f>
        <v>0.82795063940702129</v>
      </c>
      <c r="E2923" s="47">
        <v>16082395</v>
      </c>
      <c r="F2923" s="48" t="s">
        <v>1310</v>
      </c>
      <c r="G2923" s="117"/>
      <c r="H2923" s="117"/>
      <c r="I2923" s="40"/>
      <c r="J2923" s="40" t="s">
        <v>264</v>
      </c>
      <c r="K2923" s="118"/>
      <c r="L2923" s="119"/>
      <c r="M2923" s="110">
        <f>IF(L2923="",I2923,(MIN(J2923,(L2923*1.6*J2923))))</f>
        <v>0</v>
      </c>
      <c r="N2923" s="111">
        <f>IF(M2923=0,0,(M2923/J2923))</f>
        <v>0</v>
      </c>
    </row>
    <row r="2924" spans="2:14">
      <c r="B2924" s="73">
        <v>127814</v>
      </c>
      <c r="C2924" s="23" t="s">
        <v>2448</v>
      </c>
      <c r="D2924" s="123">
        <f>SUMIF(B$3:B$3844,B2924,M$3:M$3844)/(SUMIF(B$3:B$3844,B2924,J$3:J$3844))</f>
        <v>0.82795063940702129</v>
      </c>
      <c r="E2924" s="47">
        <v>16049444</v>
      </c>
      <c r="F2924" s="48" t="s">
        <v>1142</v>
      </c>
      <c r="G2924" s="117" t="s">
        <v>1143</v>
      </c>
      <c r="H2924" s="117"/>
      <c r="I2924" s="40"/>
      <c r="J2924" s="40">
        <v>720</v>
      </c>
      <c r="K2924" s="118">
        <v>2015</v>
      </c>
      <c r="L2924" s="119">
        <v>61.52</v>
      </c>
      <c r="M2924" s="110">
        <f>IF(L2924="",I2924,(MIN(J2924,(L2924*1.6*J2924))))</f>
        <v>720</v>
      </c>
      <c r="N2924" s="111">
        <f>IF(M2924=0,0,(M2924/J2924))</f>
        <v>1</v>
      </c>
    </row>
    <row r="2925" spans="2:14">
      <c r="B2925" s="72">
        <v>127814</v>
      </c>
      <c r="C2925" s="23" t="s">
        <v>2448</v>
      </c>
      <c r="D2925" s="123">
        <f>SUMIF(B$3:B$3844,B2925,M$3:M$3844)/(SUMIF(B$3:B$3844,B2925,J$3:J$3844))</f>
        <v>0.82795063940702129</v>
      </c>
      <c r="E2925" s="47">
        <v>38059</v>
      </c>
      <c r="F2925" s="48" t="s">
        <v>1311</v>
      </c>
      <c r="G2925" s="117" t="s">
        <v>1144</v>
      </c>
      <c r="H2925" s="117"/>
      <c r="I2925" s="40"/>
      <c r="J2925" s="40">
        <v>1125</v>
      </c>
      <c r="K2925" s="118">
        <v>2015</v>
      </c>
      <c r="L2925" s="119">
        <v>61.52</v>
      </c>
      <c r="M2925" s="110">
        <f>IF(L2925="",I2925,(MIN(J2925,(L2925*1.6*J2925))))</f>
        <v>1125</v>
      </c>
      <c r="N2925" s="111">
        <f>IF(M2925=0,0,(M2925/J2925))</f>
        <v>1</v>
      </c>
    </row>
    <row r="2926" spans="2:14">
      <c r="B2926" s="73">
        <v>127814</v>
      </c>
      <c r="C2926" s="23" t="s">
        <v>2448</v>
      </c>
      <c r="D2926" s="123">
        <f>SUMIF(B$3:B$3844,B2926,M$3:M$3844)/(SUMIF(B$3:B$3844,B2926,J$3:J$3844))</f>
        <v>0.82795063940702129</v>
      </c>
      <c r="E2926" s="47">
        <v>38057</v>
      </c>
      <c r="F2926" s="48" t="s">
        <v>1312</v>
      </c>
      <c r="G2926" s="117" t="s">
        <v>1145</v>
      </c>
      <c r="H2926" s="117"/>
      <c r="I2926" s="40">
        <v>1071</v>
      </c>
      <c r="J2926" s="40">
        <v>1867</v>
      </c>
      <c r="K2926" s="118"/>
      <c r="L2926" s="119"/>
      <c r="M2926" s="110">
        <f>IF(L2926="",I2926,(MIN(J2926,(L2926*1.6*J2926))))</f>
        <v>1071</v>
      </c>
      <c r="N2926" s="111">
        <f>IF(M2926=0,0,(M2926/J2926))</f>
        <v>0.57364756293519015</v>
      </c>
    </row>
    <row r="2927" spans="2:14">
      <c r="B2927" s="72">
        <v>127814</v>
      </c>
      <c r="C2927" s="23" t="s">
        <v>2448</v>
      </c>
      <c r="D2927" s="123">
        <f>SUMIF(B$3:B$3844,B2927,M$3:M$3844)/(SUMIF(B$3:B$3844,B2927,J$3:J$3844))</f>
        <v>0.82795063940702129</v>
      </c>
      <c r="E2927" s="47">
        <v>16082471</v>
      </c>
      <c r="F2927" s="48" t="s">
        <v>1313</v>
      </c>
      <c r="G2927" s="117"/>
      <c r="H2927" s="117"/>
      <c r="I2927" s="40"/>
      <c r="J2927" s="40" t="s">
        <v>264</v>
      </c>
      <c r="K2927" s="118"/>
      <c r="L2927" s="119"/>
      <c r="M2927" s="110">
        <f>IF(L2927="",I2927,(MIN(J2927,(L2927*1.6*J2927))))</f>
        <v>0</v>
      </c>
      <c r="N2927" s="111">
        <f>IF(M2927=0,0,(M2927/J2927))</f>
        <v>0</v>
      </c>
    </row>
    <row r="2928" spans="2:14">
      <c r="B2928" s="73">
        <v>127814</v>
      </c>
      <c r="C2928" s="23" t="s">
        <v>2448</v>
      </c>
      <c r="D2928" s="123">
        <f>SUMIF(B$3:B$3844,B2928,M$3:M$3844)/(SUMIF(B$3:B$3844,B2928,J$3:J$3844))</f>
        <v>0.82795063940702129</v>
      </c>
      <c r="E2928" s="47">
        <v>16039985</v>
      </c>
      <c r="F2928" s="48" t="s">
        <v>1146</v>
      </c>
      <c r="G2928" s="117">
        <v>120159005346</v>
      </c>
      <c r="H2928" s="117"/>
      <c r="I2928" s="40"/>
      <c r="J2928" s="40">
        <v>1057</v>
      </c>
      <c r="K2928" s="118">
        <v>2015</v>
      </c>
      <c r="L2928" s="119">
        <v>61.52</v>
      </c>
      <c r="M2928" s="110">
        <f>IF(L2928="",I2928,(MIN(J2928,(L2928*1.6*J2928))))</f>
        <v>1057</v>
      </c>
      <c r="N2928" s="111">
        <f>IF(M2928=0,0,(M2928/J2928))</f>
        <v>1</v>
      </c>
    </row>
    <row r="2929" spans="2:14">
      <c r="B2929" s="72">
        <v>127814</v>
      </c>
      <c r="C2929" s="23" t="s">
        <v>2448</v>
      </c>
      <c r="D2929" s="123">
        <f>SUMIF(B$3:B$3844,B2929,M$3:M$3844)/(SUMIF(B$3:B$3844,B2929,J$3:J$3844))</f>
        <v>0.82795063940702129</v>
      </c>
      <c r="E2929" s="47">
        <v>38117</v>
      </c>
      <c r="F2929" s="48" t="s">
        <v>1314</v>
      </c>
      <c r="G2929" s="117" t="s">
        <v>1147</v>
      </c>
      <c r="H2929" s="117"/>
      <c r="I2929" s="40"/>
      <c r="J2929" s="40">
        <v>1763</v>
      </c>
      <c r="K2929" s="118">
        <v>2015</v>
      </c>
      <c r="L2929" s="119">
        <v>61.52</v>
      </c>
      <c r="M2929" s="110">
        <f>IF(L2929="",I2929,(MIN(J2929,(L2929*1.6*J2929))))</f>
        <v>1763</v>
      </c>
      <c r="N2929" s="111">
        <f>IF(M2929=0,0,(M2929/J2929))</f>
        <v>1</v>
      </c>
    </row>
    <row r="2930" spans="2:14">
      <c r="B2930" s="73">
        <v>127814</v>
      </c>
      <c r="C2930" s="23" t="s">
        <v>2448</v>
      </c>
      <c r="D2930" s="123">
        <f>SUMIF(B$3:B$3844,B2930,M$3:M$3844)/(SUMIF(B$3:B$3844,B2930,J$3:J$3844))</f>
        <v>0.82795063940702129</v>
      </c>
      <c r="E2930" s="47">
        <v>38183</v>
      </c>
      <c r="F2930" s="48" t="s">
        <v>1315</v>
      </c>
      <c r="G2930" s="117" t="s">
        <v>1148</v>
      </c>
      <c r="H2930" s="117"/>
      <c r="I2930" s="40"/>
      <c r="J2930" s="40">
        <v>562</v>
      </c>
      <c r="K2930" s="118">
        <v>2015</v>
      </c>
      <c r="L2930" s="119">
        <v>61.52</v>
      </c>
      <c r="M2930" s="110">
        <f>IF(L2930="",I2930,(MIN(J2930,(L2930*1.6*J2930))))</f>
        <v>562</v>
      </c>
      <c r="N2930" s="111">
        <f>IF(M2930=0,0,(M2930/J2930))</f>
        <v>1</v>
      </c>
    </row>
    <row r="2931" spans="2:14">
      <c r="B2931" s="72">
        <v>127814</v>
      </c>
      <c r="C2931" s="23" t="s">
        <v>2448</v>
      </c>
      <c r="D2931" s="123">
        <f>SUMIF(B$3:B$3844,B2931,M$3:M$3844)/(SUMIF(B$3:B$3844,B2931,J$3:J$3844))</f>
        <v>0.82795063940702129</v>
      </c>
      <c r="E2931" s="47">
        <v>16055559</v>
      </c>
      <c r="F2931" s="48" t="s">
        <v>1149</v>
      </c>
      <c r="G2931" s="117"/>
      <c r="H2931" s="117"/>
      <c r="I2931" s="40"/>
      <c r="J2931" s="40"/>
      <c r="K2931" s="118"/>
      <c r="L2931" s="119"/>
      <c r="M2931" s="110">
        <f>IF(L2931="",I2931,(MIN(J2931,(L2931*1.6*J2931))))</f>
        <v>0</v>
      </c>
      <c r="N2931" s="111">
        <f>IF(M2931=0,0,(M2931/J2931))</f>
        <v>0</v>
      </c>
    </row>
    <row r="2932" spans="2:14">
      <c r="B2932" s="73">
        <v>127814</v>
      </c>
      <c r="C2932" s="23" t="s">
        <v>2448</v>
      </c>
      <c r="D2932" s="123">
        <f>SUMIF(B$3:B$3844,B2932,M$3:M$3844)/(SUMIF(B$3:B$3844,B2932,J$3:J$3844))</f>
        <v>0.82795063940702129</v>
      </c>
      <c r="E2932" s="47">
        <v>16082487</v>
      </c>
      <c r="F2932" s="48" t="s">
        <v>1150</v>
      </c>
      <c r="G2932" s="117"/>
      <c r="H2932" s="117"/>
      <c r="I2932" s="40"/>
      <c r="J2932" s="40" t="s">
        <v>264</v>
      </c>
      <c r="K2932" s="118"/>
      <c r="L2932" s="119"/>
      <c r="M2932" s="110">
        <f>IF(L2932="",I2932,(MIN(J2932,(L2932*1.6*J2932))))</f>
        <v>0</v>
      </c>
      <c r="N2932" s="111">
        <f>IF(M2932=0,0,(M2932/J2932))</f>
        <v>0</v>
      </c>
    </row>
    <row r="2933" spans="2:14">
      <c r="B2933" s="72">
        <v>127814</v>
      </c>
      <c r="C2933" s="23" t="s">
        <v>2448</v>
      </c>
      <c r="D2933" s="123">
        <f>SUMIF(B$3:B$3844,B2933,M$3:M$3844)/(SUMIF(B$3:B$3844,B2933,J$3:J$3844))</f>
        <v>0.82795063940702129</v>
      </c>
      <c r="E2933" s="47">
        <v>38072</v>
      </c>
      <c r="F2933" s="48" t="s">
        <v>1151</v>
      </c>
      <c r="G2933" s="117" t="s">
        <v>1152</v>
      </c>
      <c r="H2933" s="117"/>
      <c r="I2933" s="40">
        <v>595</v>
      </c>
      <c r="J2933" s="40">
        <v>1211</v>
      </c>
      <c r="K2933" s="118"/>
      <c r="L2933" s="119"/>
      <c r="M2933" s="110">
        <f>IF(L2933="",I2933,(MIN(J2933,(L2933*1.6*J2933))))</f>
        <v>595</v>
      </c>
      <c r="N2933" s="111">
        <f>IF(M2933=0,0,(M2933/J2933))</f>
        <v>0.4913294797687861</v>
      </c>
    </row>
    <row r="2934" spans="2:14">
      <c r="B2934" s="73">
        <v>127814</v>
      </c>
      <c r="C2934" s="23" t="s">
        <v>2448</v>
      </c>
      <c r="D2934" s="123">
        <f>SUMIF(B$3:B$3844,B2934,M$3:M$3844)/(SUMIF(B$3:B$3844,B2934,J$3:J$3844))</f>
        <v>0.82795063940702129</v>
      </c>
      <c r="E2934" s="47">
        <v>16082569</v>
      </c>
      <c r="F2934" s="48" t="s">
        <v>1153</v>
      </c>
      <c r="G2934" s="117" t="s">
        <v>1154</v>
      </c>
      <c r="H2934" s="117"/>
      <c r="I2934" s="40">
        <v>10</v>
      </c>
      <c r="J2934" s="40">
        <v>60</v>
      </c>
      <c r="K2934" s="118"/>
      <c r="L2934" s="119"/>
      <c r="M2934" s="110">
        <f>IF(L2934="",I2934,(MIN(J2934,(L2934*1.6*J2934))))</f>
        <v>10</v>
      </c>
      <c r="N2934" s="111">
        <f>IF(M2934=0,0,(M2934/J2934))</f>
        <v>0.16666666666666666</v>
      </c>
    </row>
    <row r="2935" spans="2:14">
      <c r="B2935" s="72">
        <v>127814</v>
      </c>
      <c r="C2935" s="23" t="s">
        <v>2448</v>
      </c>
      <c r="D2935" s="123">
        <f>SUMIF(B$3:B$3844,B2935,M$3:M$3844)/(SUMIF(B$3:B$3844,B2935,J$3:J$3844))</f>
        <v>0.82795063940702129</v>
      </c>
      <c r="E2935" s="47">
        <v>16082570</v>
      </c>
      <c r="F2935" s="48" t="s">
        <v>1155</v>
      </c>
      <c r="G2935" s="117" t="s">
        <v>1156</v>
      </c>
      <c r="H2935" s="117"/>
      <c r="I2935" s="40">
        <v>10</v>
      </c>
      <c r="J2935" s="40">
        <v>80</v>
      </c>
      <c r="K2935" s="118"/>
      <c r="L2935" s="119"/>
      <c r="M2935" s="110">
        <f>IF(L2935="",I2935,(MIN(J2935,(L2935*1.6*J2935))))</f>
        <v>10</v>
      </c>
      <c r="N2935" s="111">
        <f>IF(M2935=0,0,(M2935/J2935))</f>
        <v>0.125</v>
      </c>
    </row>
    <row r="2936" spans="2:14">
      <c r="B2936" s="73">
        <v>127814</v>
      </c>
      <c r="C2936" s="23" t="s">
        <v>2448</v>
      </c>
      <c r="D2936" s="123">
        <f>SUMIF(B$3:B$3844,B2936,M$3:M$3844)/(SUMIF(B$3:B$3844,B2936,J$3:J$3844))</f>
        <v>0.82795063940702129</v>
      </c>
      <c r="E2936" s="47">
        <v>38038</v>
      </c>
      <c r="F2936" s="48" t="s">
        <v>1316</v>
      </c>
      <c r="G2936" s="117" t="s">
        <v>1157</v>
      </c>
      <c r="H2936" s="117"/>
      <c r="I2936" s="40">
        <v>990</v>
      </c>
      <c r="J2936" s="40">
        <v>2201</v>
      </c>
      <c r="K2936" s="118"/>
      <c r="L2936" s="119"/>
      <c r="M2936" s="110">
        <f>IF(L2936="",I2936,(MIN(J2936,(L2936*1.6*J2936))))</f>
        <v>990</v>
      </c>
      <c r="N2936" s="111">
        <f>IF(M2936=0,0,(M2936/J2936))</f>
        <v>0.44979554747841888</v>
      </c>
    </row>
    <row r="2937" spans="2:14" ht="30">
      <c r="B2937" s="72">
        <v>127814</v>
      </c>
      <c r="C2937" s="23" t="s">
        <v>2448</v>
      </c>
      <c r="D2937" s="123">
        <f>SUMIF(B$3:B$3844,B2937,M$3:M$3844)/(SUMIF(B$3:B$3844,B2937,J$3:J$3844))</f>
        <v>0.82795063940702129</v>
      </c>
      <c r="E2937" s="47">
        <v>38038</v>
      </c>
      <c r="F2937" s="48" t="s">
        <v>1317</v>
      </c>
      <c r="G2937" s="117"/>
      <c r="H2937" s="117" t="s">
        <v>1317</v>
      </c>
      <c r="I2937" s="40"/>
      <c r="J2937" s="40"/>
      <c r="K2937" s="118"/>
      <c r="L2937" s="119"/>
      <c r="M2937" s="110">
        <f>IF(L2937="",I2937,(MIN(J2937,(L2937*1.6*J2937))))</f>
        <v>0</v>
      </c>
      <c r="N2937" s="111">
        <f>IF(M2937=0,0,(M2937/J2937))</f>
        <v>0</v>
      </c>
    </row>
    <row r="2938" spans="2:14">
      <c r="B2938" s="83">
        <v>127814</v>
      </c>
      <c r="C2938" s="23" t="s">
        <v>2448</v>
      </c>
      <c r="D2938" s="123">
        <f>SUMIF(B$3:B$3844,B2938,M$3:M$3844)/(SUMIF(B$3:B$3844,B2938,J$3:J$3844))</f>
        <v>0.82795063940702129</v>
      </c>
      <c r="E2938" s="47">
        <v>16082488</v>
      </c>
      <c r="F2938" s="48" t="s">
        <v>1158</v>
      </c>
      <c r="G2938" s="117"/>
      <c r="H2938" s="117"/>
      <c r="I2938" s="40"/>
      <c r="J2938" s="40" t="s">
        <v>264</v>
      </c>
      <c r="K2938" s="118"/>
      <c r="L2938" s="119"/>
      <c r="M2938" s="110">
        <f>IF(L2938="",I2938,(MIN(J2938,(L2938*1.6*J2938))))</f>
        <v>0</v>
      </c>
      <c r="N2938" s="111">
        <f>IF(M2938=0,0,(M2938/J2938))</f>
        <v>0</v>
      </c>
    </row>
    <row r="2939" spans="2:14">
      <c r="B2939" s="72">
        <v>127814</v>
      </c>
      <c r="C2939" s="23" t="s">
        <v>2448</v>
      </c>
      <c r="D2939" s="123">
        <f>SUMIF(B$3:B$3844,B2939,M$3:M$3844)/(SUMIF(B$3:B$3844,B2939,J$3:J$3844))</f>
        <v>0.82795063940702129</v>
      </c>
      <c r="E2939" s="47">
        <v>16044350</v>
      </c>
      <c r="F2939" s="48" t="s">
        <v>1318</v>
      </c>
      <c r="G2939" s="117" t="s">
        <v>1159</v>
      </c>
      <c r="H2939" s="117"/>
      <c r="I2939" s="40"/>
      <c r="J2939" s="40">
        <v>811</v>
      </c>
      <c r="K2939" s="118">
        <v>2015</v>
      </c>
      <c r="L2939" s="119">
        <v>61.52</v>
      </c>
      <c r="M2939" s="110">
        <f>IF(L2939="",I2939,(MIN(J2939,(L2939*1.6*J2939))))</f>
        <v>811</v>
      </c>
      <c r="N2939" s="111">
        <f>IF(M2939=0,0,(M2939/J2939))</f>
        <v>1</v>
      </c>
    </row>
    <row r="2940" spans="2:14">
      <c r="B2940" s="73">
        <v>127814</v>
      </c>
      <c r="C2940" s="23" t="s">
        <v>2448</v>
      </c>
      <c r="D2940" s="123">
        <f>SUMIF(B$3:B$3844,B2940,M$3:M$3844)/(SUMIF(B$3:B$3844,B2940,J$3:J$3844))</f>
        <v>0.82795063940702129</v>
      </c>
      <c r="E2940" s="47">
        <v>38036</v>
      </c>
      <c r="F2940" s="48" t="s">
        <v>1319</v>
      </c>
      <c r="G2940" s="117" t="s">
        <v>1160</v>
      </c>
      <c r="H2940" s="117"/>
      <c r="I2940" s="40">
        <v>199</v>
      </c>
      <c r="J2940" s="40">
        <v>655</v>
      </c>
      <c r="K2940" s="118"/>
      <c r="L2940" s="119"/>
      <c r="M2940" s="110">
        <f>IF(L2940="",I2940,(MIN(J2940,(L2940*1.6*J2940))))</f>
        <v>199</v>
      </c>
      <c r="N2940" s="111">
        <f>IF(M2940=0,0,(M2940/J2940))</f>
        <v>0.30381679389312977</v>
      </c>
    </row>
    <row r="2941" spans="2:14">
      <c r="B2941" s="72">
        <v>127814</v>
      </c>
      <c r="C2941" s="23" t="s">
        <v>2448</v>
      </c>
      <c r="D2941" s="123">
        <f>SUMIF(B$3:B$3844,B2941,M$3:M$3844)/(SUMIF(B$3:B$3844,B2941,J$3:J$3844))</f>
        <v>0.82795063940702129</v>
      </c>
      <c r="E2941" s="47">
        <v>16055561</v>
      </c>
      <c r="F2941" s="48" t="s">
        <v>1320</v>
      </c>
      <c r="G2941" s="117"/>
      <c r="H2941" s="117"/>
      <c r="I2941" s="40"/>
      <c r="J2941" s="40" t="s">
        <v>264</v>
      </c>
      <c r="K2941" s="118"/>
      <c r="L2941" s="119"/>
      <c r="M2941" s="110">
        <f>IF(L2941="",I2941,(MIN(J2941,(L2941*1.6*J2941))))</f>
        <v>0</v>
      </c>
      <c r="N2941" s="111">
        <f>IF(M2941=0,0,(M2941/J2941))</f>
        <v>0</v>
      </c>
    </row>
    <row r="2942" spans="2:14">
      <c r="B2942" s="73">
        <v>127814</v>
      </c>
      <c r="C2942" s="23" t="s">
        <v>2448</v>
      </c>
      <c r="D2942" s="123">
        <f>SUMIF(B$3:B$3844,B2942,M$3:M$3844)/(SUMIF(B$3:B$3844,B2942,J$3:J$3844))</f>
        <v>0.82795063940702129</v>
      </c>
      <c r="E2942" s="47">
        <v>38089</v>
      </c>
      <c r="F2942" s="48" t="s">
        <v>1321</v>
      </c>
      <c r="G2942" s="117" t="s">
        <v>1161</v>
      </c>
      <c r="H2942" s="117"/>
      <c r="I2942" s="40"/>
      <c r="J2942" s="40">
        <v>845</v>
      </c>
      <c r="K2942" s="118">
        <v>2015</v>
      </c>
      <c r="L2942" s="119">
        <v>61.52</v>
      </c>
      <c r="M2942" s="110">
        <f>IF(L2942="",I2942,(MIN(J2942,(L2942*1.6*J2942))))</f>
        <v>845</v>
      </c>
      <c r="N2942" s="111">
        <f>IF(M2942=0,0,(M2942/J2942))</f>
        <v>1</v>
      </c>
    </row>
    <row r="2943" spans="2:14">
      <c r="B2943" s="82">
        <v>127814</v>
      </c>
      <c r="C2943" s="23" t="s">
        <v>2448</v>
      </c>
      <c r="D2943" s="123">
        <f>SUMIF(B$3:B$3844,B2943,M$3:M$3844)/(SUMIF(B$3:B$3844,B2943,J$3:J$3844))</f>
        <v>0.82795063940702129</v>
      </c>
      <c r="E2943" s="47">
        <v>38123</v>
      </c>
      <c r="F2943" s="48" t="s">
        <v>1322</v>
      </c>
      <c r="G2943" s="117" t="s">
        <v>1162</v>
      </c>
      <c r="H2943" s="117"/>
      <c r="I2943" s="40"/>
      <c r="J2943" s="40">
        <v>713</v>
      </c>
      <c r="K2943" s="118"/>
      <c r="L2943" s="119"/>
      <c r="M2943" s="110">
        <f>IF(L2943="",I2943,(MIN(J2943,(L2943*1.6*J2943))))</f>
        <v>0</v>
      </c>
      <c r="N2943" s="111">
        <f>IF(M2943=0,0,(M2943/J2943))</f>
        <v>0</v>
      </c>
    </row>
    <row r="2944" spans="2:14" ht="30">
      <c r="B2944" s="73">
        <v>127814</v>
      </c>
      <c r="C2944" s="23" t="s">
        <v>2448</v>
      </c>
      <c r="D2944" s="123">
        <f>SUMIF(B$3:B$3844,B2944,M$3:M$3844)/(SUMIF(B$3:B$3844,B2944,J$3:J$3844))</f>
        <v>0.82795063940702129</v>
      </c>
      <c r="E2944" s="47">
        <v>38123</v>
      </c>
      <c r="F2944" s="48" t="s">
        <v>1323</v>
      </c>
      <c r="G2944" s="117"/>
      <c r="H2944" s="117" t="s">
        <v>1323</v>
      </c>
      <c r="I2944" s="40"/>
      <c r="J2944" s="40"/>
      <c r="K2944" s="118">
        <v>2015</v>
      </c>
      <c r="L2944" s="119">
        <v>61.52</v>
      </c>
      <c r="M2944" s="110">
        <f>IF(L2944="",I2944,(MIN(J2944,(L2944*1.6*J2944))))</f>
        <v>0</v>
      </c>
      <c r="N2944" s="111">
        <f>IF(M2944=0,0,(M2944/J2944))</f>
        <v>0</v>
      </c>
    </row>
    <row r="2945" spans="2:14">
      <c r="B2945" s="72">
        <v>127814</v>
      </c>
      <c r="C2945" s="23" t="s">
        <v>2448</v>
      </c>
      <c r="D2945" s="123">
        <f>SUMIF(B$3:B$3844,B2945,M$3:M$3844)/(SUMIF(B$3:B$3844,B2945,J$3:J$3844))</f>
        <v>0.82795063940702129</v>
      </c>
      <c r="E2945" s="47">
        <v>38056</v>
      </c>
      <c r="F2945" s="48" t="s">
        <v>1324</v>
      </c>
      <c r="G2945" s="117" t="s">
        <v>1163</v>
      </c>
      <c r="H2945" s="117"/>
      <c r="I2945" s="40">
        <v>157</v>
      </c>
      <c r="J2945" s="40">
        <v>588</v>
      </c>
      <c r="K2945" s="118"/>
      <c r="L2945" s="119"/>
      <c r="M2945" s="110">
        <f>IF(L2945="",I2945,(MIN(J2945,(L2945*1.6*J2945))))</f>
        <v>157</v>
      </c>
      <c r="N2945" s="111">
        <f>IF(M2945=0,0,(M2945/J2945))</f>
        <v>0.26700680272108845</v>
      </c>
    </row>
    <row r="2946" spans="2:14">
      <c r="B2946" s="73">
        <v>127814</v>
      </c>
      <c r="C2946" s="23" t="s">
        <v>2448</v>
      </c>
      <c r="D2946" s="123">
        <f>SUMIF(B$3:B$3844,B2946,M$3:M$3844)/(SUMIF(B$3:B$3844,B2946,J$3:J$3844))</f>
        <v>0.82795063940702129</v>
      </c>
      <c r="E2946" s="47">
        <v>38154</v>
      </c>
      <c r="F2946" s="48" t="s">
        <v>1164</v>
      </c>
      <c r="G2946" s="117" t="s">
        <v>1165</v>
      </c>
      <c r="H2946" s="117"/>
      <c r="I2946" s="40"/>
      <c r="J2946" s="40">
        <v>874</v>
      </c>
      <c r="K2946" s="118">
        <v>2015</v>
      </c>
      <c r="L2946" s="119">
        <v>61.52</v>
      </c>
      <c r="M2946" s="110">
        <f>IF(L2946="",I2946,(MIN(J2946,(L2946*1.6*J2946))))</f>
        <v>874</v>
      </c>
      <c r="N2946" s="111">
        <f>IF(M2946=0,0,(M2946/J2946))</f>
        <v>1</v>
      </c>
    </row>
    <row r="2947" spans="2:14">
      <c r="B2947" s="72">
        <v>127814</v>
      </c>
      <c r="C2947" s="23" t="s">
        <v>2448</v>
      </c>
      <c r="D2947" s="123">
        <f>SUMIF(B$3:B$3844,B2947,M$3:M$3844)/(SUMIF(B$3:B$3844,B2947,J$3:J$3844))</f>
        <v>0.82795063940702129</v>
      </c>
      <c r="E2947" s="47">
        <v>16082541</v>
      </c>
      <c r="F2947" s="48" t="s">
        <v>1325</v>
      </c>
      <c r="G2947" s="117" t="s">
        <v>1166</v>
      </c>
      <c r="H2947" s="117"/>
      <c r="I2947" s="40">
        <v>1</v>
      </c>
      <c r="J2947" s="40">
        <v>92</v>
      </c>
      <c r="K2947" s="118"/>
      <c r="L2947" s="119"/>
      <c r="M2947" s="110">
        <f>IF(L2947="",I2947,(MIN(J2947,(L2947*1.6*J2947))))</f>
        <v>1</v>
      </c>
      <c r="N2947" s="111">
        <f>IF(M2947=0,0,(M2947/J2947))</f>
        <v>1.0869565217391304E-2</v>
      </c>
    </row>
    <row r="2948" spans="2:14">
      <c r="B2948" s="73">
        <v>127814</v>
      </c>
      <c r="C2948" s="23" t="s">
        <v>2448</v>
      </c>
      <c r="D2948" s="123">
        <f>SUMIF(B$3:B$3844,B2948,M$3:M$3844)/(SUMIF(B$3:B$3844,B2948,J$3:J$3844))</f>
        <v>0.82795063940702129</v>
      </c>
      <c r="E2948" s="47">
        <v>205858</v>
      </c>
      <c r="F2948" s="48" t="s">
        <v>1326</v>
      </c>
      <c r="G2948" s="117"/>
      <c r="H2948" s="117"/>
      <c r="I2948" s="40"/>
      <c r="J2948" s="40" t="s">
        <v>264</v>
      </c>
      <c r="K2948" s="118"/>
      <c r="L2948" s="119"/>
      <c r="M2948" s="110">
        <f>IF(L2948="",I2948,(MIN(J2948,(L2948*1.6*J2948))))</f>
        <v>0</v>
      </c>
      <c r="N2948" s="111">
        <f>IF(M2948=0,0,(M2948/J2948))</f>
        <v>0</v>
      </c>
    </row>
    <row r="2949" spans="2:14">
      <c r="B2949" s="72">
        <v>127814</v>
      </c>
      <c r="C2949" s="23" t="s">
        <v>2448</v>
      </c>
      <c r="D2949" s="123">
        <f>SUMIF(B$3:B$3844,B2949,M$3:M$3844)/(SUMIF(B$3:B$3844,B2949,J$3:J$3844))</f>
        <v>0.82795063940702129</v>
      </c>
      <c r="E2949" s="47">
        <v>38050</v>
      </c>
      <c r="F2949" s="48" t="s">
        <v>1167</v>
      </c>
      <c r="G2949" s="117" t="s">
        <v>1168</v>
      </c>
      <c r="H2949" s="117"/>
      <c r="I2949" s="40"/>
      <c r="J2949" s="40">
        <v>210</v>
      </c>
      <c r="K2949" s="118">
        <v>2015</v>
      </c>
      <c r="L2949" s="119">
        <v>61.52</v>
      </c>
      <c r="M2949" s="110">
        <f>IF(L2949="",I2949,(MIN(J2949,(L2949*1.6*J2949))))</f>
        <v>210</v>
      </c>
      <c r="N2949" s="111">
        <f>IF(M2949=0,0,(M2949/J2949))</f>
        <v>1</v>
      </c>
    </row>
    <row r="2950" spans="2:14" ht="30">
      <c r="B2950" s="83">
        <v>127814</v>
      </c>
      <c r="C2950" s="23" t="s">
        <v>2448</v>
      </c>
      <c r="D2950" s="123">
        <f>SUMIF(B$3:B$3844,B2950,M$3:M$3844)/(SUMIF(B$3:B$3844,B2950,J$3:J$3844))</f>
        <v>0.82795063940702129</v>
      </c>
      <c r="E2950" s="47">
        <v>38050</v>
      </c>
      <c r="F2950" s="48" t="s">
        <v>1169</v>
      </c>
      <c r="G2950" s="117"/>
      <c r="H2950" s="117" t="s">
        <v>1169</v>
      </c>
      <c r="I2950" s="40"/>
      <c r="J2950" s="40"/>
      <c r="K2950" s="118">
        <v>2015</v>
      </c>
      <c r="L2950" s="119">
        <v>61.52</v>
      </c>
      <c r="M2950" s="110">
        <f>IF(L2950="",I2950,(MIN(J2950,(L2950*1.6*J2950))))</f>
        <v>0</v>
      </c>
      <c r="N2950" s="111">
        <f>IF(M2950=0,0,(M2950/J2950))</f>
        <v>0</v>
      </c>
    </row>
    <row r="2951" spans="2:14">
      <c r="B2951" s="72">
        <v>127814</v>
      </c>
      <c r="C2951" s="23" t="s">
        <v>2448</v>
      </c>
      <c r="D2951" s="123">
        <f>SUMIF(B$3:B$3844,B2951,M$3:M$3844)/(SUMIF(B$3:B$3844,B2951,J$3:J$3844))</f>
        <v>0.82795063940702129</v>
      </c>
      <c r="E2951" s="47">
        <v>16072343</v>
      </c>
      <c r="F2951" s="48" t="s">
        <v>1327</v>
      </c>
      <c r="G2951" s="117" t="s">
        <v>1170</v>
      </c>
      <c r="H2951" s="117"/>
      <c r="I2951" s="40">
        <v>260</v>
      </c>
      <c r="J2951" s="40">
        <v>1306</v>
      </c>
      <c r="K2951" s="118"/>
      <c r="L2951" s="119"/>
      <c r="M2951" s="110">
        <f>IF(L2951="",I2951,(MIN(J2951,(L2951*1.6*J2951))))</f>
        <v>260</v>
      </c>
      <c r="N2951" s="111">
        <f>IF(M2951=0,0,(M2951/J2951))</f>
        <v>0.19908116385911179</v>
      </c>
    </row>
    <row r="2952" spans="2:14">
      <c r="B2952" s="73">
        <v>127814</v>
      </c>
      <c r="C2952" s="23" t="s">
        <v>2448</v>
      </c>
      <c r="D2952" s="123">
        <f>SUMIF(B$3:B$3844,B2952,M$3:M$3844)/(SUMIF(B$3:B$3844,B2952,J$3:J$3844))</f>
        <v>0.82795063940702129</v>
      </c>
      <c r="E2952" s="47">
        <v>16072347</v>
      </c>
      <c r="F2952" s="48" t="s">
        <v>1328</v>
      </c>
      <c r="G2952" s="117" t="s">
        <v>1171</v>
      </c>
      <c r="H2952" s="117"/>
      <c r="I2952" s="40">
        <v>170</v>
      </c>
      <c r="J2952" s="40">
        <v>570</v>
      </c>
      <c r="K2952" s="118"/>
      <c r="L2952" s="119"/>
      <c r="M2952" s="110">
        <f>IF(L2952="",I2952,(MIN(J2952,(L2952*1.6*J2952))))</f>
        <v>170</v>
      </c>
      <c r="N2952" s="111">
        <f>IF(M2952=0,0,(M2952/J2952))</f>
        <v>0.2982456140350877</v>
      </c>
    </row>
    <row r="2953" spans="2:14" ht="30">
      <c r="B2953" s="82">
        <v>127814</v>
      </c>
      <c r="C2953" s="23" t="s">
        <v>2448</v>
      </c>
      <c r="D2953" s="123">
        <f>SUMIF(B$3:B$3844,B2953,M$3:M$3844)/(SUMIF(B$3:B$3844,B2953,J$3:J$3844))</f>
        <v>0.82795063940702129</v>
      </c>
      <c r="E2953" s="47">
        <v>38150</v>
      </c>
      <c r="F2953" s="48" t="s">
        <v>1172</v>
      </c>
      <c r="G2953" s="117" t="s">
        <v>1173</v>
      </c>
      <c r="H2953" s="117"/>
      <c r="I2953" s="40"/>
      <c r="J2953" s="40">
        <v>847</v>
      </c>
      <c r="K2953" s="118">
        <v>2015</v>
      </c>
      <c r="L2953" s="119">
        <v>61.52</v>
      </c>
      <c r="M2953" s="110">
        <f>IF(L2953="",I2953,(MIN(J2953,(L2953*1.6*J2953))))</f>
        <v>847</v>
      </c>
      <c r="N2953" s="111">
        <f>IF(M2953=0,0,(M2953/J2953))</f>
        <v>1</v>
      </c>
    </row>
    <row r="2954" spans="2:14">
      <c r="B2954" s="73">
        <v>127814</v>
      </c>
      <c r="C2954" s="23" t="s">
        <v>2448</v>
      </c>
      <c r="D2954" s="123">
        <f>SUMIF(B$3:B$3844,B2954,M$3:M$3844)/(SUMIF(B$3:B$3844,B2954,J$3:J$3844))</f>
        <v>0.82795063940702129</v>
      </c>
      <c r="E2954" s="47">
        <v>38073</v>
      </c>
      <c r="F2954" s="48" t="s">
        <v>1329</v>
      </c>
      <c r="G2954" s="117" t="s">
        <v>1174</v>
      </c>
      <c r="H2954" s="117"/>
      <c r="I2954" s="40"/>
      <c r="J2954" s="40">
        <v>658</v>
      </c>
      <c r="K2954" s="118">
        <v>2015</v>
      </c>
      <c r="L2954" s="119">
        <v>61.52</v>
      </c>
      <c r="M2954" s="110">
        <f>IF(L2954="",I2954,(MIN(J2954,(L2954*1.6*J2954))))</f>
        <v>658</v>
      </c>
      <c r="N2954" s="111">
        <f>IF(M2954=0,0,(M2954/J2954))</f>
        <v>1</v>
      </c>
    </row>
    <row r="2955" spans="2:14">
      <c r="B2955" s="72">
        <v>127814</v>
      </c>
      <c r="C2955" s="23" t="s">
        <v>2448</v>
      </c>
      <c r="D2955" s="123">
        <f>SUMIF(B$3:B$3844,B2955,M$3:M$3844)/(SUMIF(B$3:B$3844,B2955,J$3:J$3844))</f>
        <v>0.82795063940702129</v>
      </c>
      <c r="E2955" s="47">
        <v>38157</v>
      </c>
      <c r="F2955" s="48" t="s">
        <v>1330</v>
      </c>
      <c r="G2955" s="117" t="s">
        <v>1175</v>
      </c>
      <c r="H2955" s="117"/>
      <c r="I2955" s="40"/>
      <c r="J2955" s="40">
        <v>1079</v>
      </c>
      <c r="K2955" s="118">
        <v>2015</v>
      </c>
      <c r="L2955" s="119">
        <v>61.52</v>
      </c>
      <c r="M2955" s="110">
        <f>IF(L2955="",I2955,(MIN(J2955,(L2955*1.6*J2955))))</f>
        <v>1079</v>
      </c>
      <c r="N2955" s="111">
        <f>IF(M2955=0,0,(M2955/J2955))</f>
        <v>1</v>
      </c>
    </row>
    <row r="2956" spans="2:14">
      <c r="B2956" s="73">
        <v>127814</v>
      </c>
      <c r="C2956" s="23" t="s">
        <v>2448</v>
      </c>
      <c r="D2956" s="123">
        <f>SUMIF(B$3:B$3844,B2956,M$3:M$3844)/(SUMIF(B$3:B$3844,B2956,J$3:J$3844))</f>
        <v>0.82795063940702129</v>
      </c>
      <c r="E2956" s="47">
        <v>38155</v>
      </c>
      <c r="F2956" s="48" t="s">
        <v>1331</v>
      </c>
      <c r="G2956" s="117" t="s">
        <v>1176</v>
      </c>
      <c r="H2956" s="117"/>
      <c r="I2956" s="40"/>
      <c r="J2956" s="40">
        <v>1076</v>
      </c>
      <c r="K2956" s="118">
        <v>2015</v>
      </c>
      <c r="L2956" s="119">
        <v>61.52</v>
      </c>
      <c r="M2956" s="110">
        <f>IF(L2956="",I2956,(MIN(J2956,(L2956*1.6*J2956))))</f>
        <v>1076</v>
      </c>
      <c r="N2956" s="111">
        <f>IF(M2956=0,0,(M2956/J2956))</f>
        <v>1</v>
      </c>
    </row>
    <row r="2957" spans="2:14">
      <c r="B2957" s="72">
        <v>127814</v>
      </c>
      <c r="C2957" s="23" t="s">
        <v>2448</v>
      </c>
      <c r="D2957" s="123">
        <f>SUMIF(B$3:B$3844,B2957,M$3:M$3844)/(SUMIF(B$3:B$3844,B2957,J$3:J$3844))</f>
        <v>0.82795063940702129</v>
      </c>
      <c r="E2957" s="47">
        <v>16064142</v>
      </c>
      <c r="F2957" s="48" t="s">
        <v>1332</v>
      </c>
      <c r="G2957" s="117" t="s">
        <v>1177</v>
      </c>
      <c r="H2957" s="117"/>
      <c r="I2957" s="40"/>
      <c r="J2957" s="40">
        <v>419</v>
      </c>
      <c r="K2957" s="118">
        <v>2015</v>
      </c>
      <c r="L2957" s="119">
        <v>61.52</v>
      </c>
      <c r="M2957" s="110">
        <f>IF(L2957="",I2957,(MIN(J2957,(L2957*1.6*J2957))))</f>
        <v>419</v>
      </c>
      <c r="N2957" s="111">
        <f>IF(M2957=0,0,(M2957/J2957))</f>
        <v>1</v>
      </c>
    </row>
    <row r="2958" spans="2:14">
      <c r="B2958" s="73">
        <v>127814</v>
      </c>
      <c r="C2958" s="23" t="s">
        <v>2448</v>
      </c>
      <c r="D2958" s="123">
        <f>SUMIF(B$3:B$3844,B2958,M$3:M$3844)/(SUMIF(B$3:B$3844,B2958,J$3:J$3844))</f>
        <v>0.82795063940702129</v>
      </c>
      <c r="E2958" s="47">
        <v>16027066</v>
      </c>
      <c r="F2958" s="48" t="s">
        <v>1333</v>
      </c>
      <c r="G2958" s="117" t="s">
        <v>1178</v>
      </c>
      <c r="H2958" s="117"/>
      <c r="I2958" s="40">
        <v>16</v>
      </c>
      <c r="J2958" s="40">
        <v>16</v>
      </c>
      <c r="K2958" s="118"/>
      <c r="L2958" s="119"/>
      <c r="M2958" s="110">
        <f>IF(L2958="",I2958,(MIN(J2958,(L2958*1.6*J2958))))</f>
        <v>16</v>
      </c>
      <c r="N2958" s="111">
        <f>IF(M2958=0,0,(M2958/J2958))</f>
        <v>1</v>
      </c>
    </row>
    <row r="2959" spans="2:14">
      <c r="B2959" s="72">
        <v>127814</v>
      </c>
      <c r="C2959" s="23" t="s">
        <v>2448</v>
      </c>
      <c r="D2959" s="123">
        <f>SUMIF(B$3:B$3844,B2959,M$3:M$3844)/(SUMIF(B$3:B$3844,B2959,J$3:J$3844))</f>
        <v>0.82795063940702129</v>
      </c>
      <c r="E2959" s="47">
        <v>16082489</v>
      </c>
      <c r="F2959" s="48" t="s">
        <v>1334</v>
      </c>
      <c r="G2959" s="117"/>
      <c r="H2959" s="117"/>
      <c r="I2959" s="40"/>
      <c r="J2959" s="40" t="s">
        <v>264</v>
      </c>
      <c r="K2959" s="118"/>
      <c r="L2959" s="119"/>
      <c r="M2959" s="110">
        <f>IF(L2959="",I2959,(MIN(J2959,(L2959*1.6*J2959))))</f>
        <v>0</v>
      </c>
      <c r="N2959" s="111">
        <f>IF(M2959=0,0,(M2959/J2959))</f>
        <v>0</v>
      </c>
    </row>
    <row r="2960" spans="2:14" ht="30">
      <c r="B2960" s="83">
        <v>127814</v>
      </c>
      <c r="C2960" s="23" t="s">
        <v>2448</v>
      </c>
      <c r="D2960" s="123">
        <f>SUMIF(B$3:B$3844,B2960,M$3:M$3844)/(SUMIF(B$3:B$3844,B2960,J$3:J$3844))</f>
        <v>0.82795063940702129</v>
      </c>
      <c r="E2960" s="47">
        <v>38051</v>
      </c>
      <c r="F2960" s="48" t="s">
        <v>1179</v>
      </c>
      <c r="G2960" s="117" t="s">
        <v>1180</v>
      </c>
      <c r="H2960" s="117"/>
      <c r="I2960" s="40"/>
      <c r="J2960" s="40">
        <v>758</v>
      </c>
      <c r="K2960" s="118">
        <v>2015</v>
      </c>
      <c r="L2960" s="119">
        <v>61.52</v>
      </c>
      <c r="M2960" s="110">
        <f>IF(L2960="",I2960,(MIN(J2960,(L2960*1.6*J2960))))</f>
        <v>758</v>
      </c>
      <c r="N2960" s="111">
        <f>IF(M2960=0,0,(M2960/J2960))</f>
        <v>1</v>
      </c>
    </row>
    <row r="2961" spans="2:14">
      <c r="B2961" s="72">
        <v>127814</v>
      </c>
      <c r="C2961" s="23" t="s">
        <v>2448</v>
      </c>
      <c r="D2961" s="123">
        <f>SUMIF(B$3:B$3844,B2961,M$3:M$3844)/(SUMIF(B$3:B$3844,B2961,J$3:J$3844))</f>
        <v>0.82795063940702129</v>
      </c>
      <c r="E2961" s="47">
        <v>16055556</v>
      </c>
      <c r="F2961" s="48" t="s">
        <v>1181</v>
      </c>
      <c r="G2961" s="117"/>
      <c r="H2961" s="117"/>
      <c r="I2961" s="40"/>
      <c r="J2961" s="40" t="s">
        <v>264</v>
      </c>
      <c r="K2961" s="118"/>
      <c r="L2961" s="119"/>
      <c r="M2961" s="110">
        <f>IF(L2961="",I2961,(MIN(J2961,(L2961*1.6*J2961))))</f>
        <v>0</v>
      </c>
      <c r="N2961" s="111">
        <f>IF(M2961=0,0,(M2961/J2961))</f>
        <v>0</v>
      </c>
    </row>
    <row r="2962" spans="2:14">
      <c r="B2962" s="73">
        <v>127814</v>
      </c>
      <c r="C2962" s="23" t="s">
        <v>2448</v>
      </c>
      <c r="D2962" s="123">
        <f>SUMIF(B$3:B$3844,B2962,M$3:M$3844)/(SUMIF(B$3:B$3844,B2962,J$3:J$3844))</f>
        <v>0.82795063940702129</v>
      </c>
      <c r="E2962" s="47">
        <v>38119</v>
      </c>
      <c r="F2962" s="48" t="s">
        <v>1182</v>
      </c>
      <c r="G2962" s="117" t="s">
        <v>1183</v>
      </c>
      <c r="H2962" s="117"/>
      <c r="I2962" s="40"/>
      <c r="J2962" s="40">
        <v>505</v>
      </c>
      <c r="K2962" s="118">
        <v>2015</v>
      </c>
      <c r="L2962" s="119">
        <v>61.52</v>
      </c>
      <c r="M2962" s="110">
        <f>IF(L2962="",I2962,(MIN(J2962,(L2962*1.6*J2962))))</f>
        <v>505</v>
      </c>
      <c r="N2962" s="111">
        <f>IF(M2962=0,0,(M2962/J2962))</f>
        <v>1</v>
      </c>
    </row>
    <row r="2963" spans="2:14">
      <c r="B2963" s="72">
        <v>127814</v>
      </c>
      <c r="C2963" s="23" t="s">
        <v>2448</v>
      </c>
      <c r="D2963" s="123">
        <f>SUMIF(B$3:B$3844,B2963,M$3:M$3844)/(SUMIF(B$3:B$3844,B2963,J$3:J$3844))</f>
        <v>0.82795063940702129</v>
      </c>
      <c r="E2963" s="47">
        <v>16082572</v>
      </c>
      <c r="F2963" s="48" t="s">
        <v>1335</v>
      </c>
      <c r="G2963" s="117" t="s">
        <v>1184</v>
      </c>
      <c r="H2963" s="117"/>
      <c r="I2963" s="40"/>
      <c r="J2963" s="40">
        <v>235</v>
      </c>
      <c r="K2963" s="118"/>
      <c r="L2963" s="119"/>
      <c r="M2963" s="110">
        <f>IF(L2963="",I2963,(MIN(J2963,(L2963*1.6*J2963))))</f>
        <v>0</v>
      </c>
      <c r="N2963" s="111">
        <f>IF(M2963=0,0,(M2963/J2963))</f>
        <v>0</v>
      </c>
    </row>
    <row r="2964" spans="2:14">
      <c r="B2964" s="73">
        <v>127814</v>
      </c>
      <c r="C2964" s="23" t="s">
        <v>2448</v>
      </c>
      <c r="D2964" s="123">
        <f>SUMIF(B$3:B$3844,B2964,M$3:M$3844)/(SUMIF(B$3:B$3844,B2964,J$3:J$3844))</f>
        <v>0.82795063940702129</v>
      </c>
      <c r="E2964" s="47">
        <v>16067032</v>
      </c>
      <c r="F2964" s="48" t="s">
        <v>1336</v>
      </c>
      <c r="G2964" s="117" t="s">
        <v>1185</v>
      </c>
      <c r="H2964" s="117"/>
      <c r="I2964" s="40"/>
      <c r="J2964" s="40">
        <v>50</v>
      </c>
      <c r="K2964" s="118"/>
      <c r="L2964" s="119"/>
      <c r="M2964" s="110">
        <f>IF(L2964="",I2964,(MIN(J2964,(L2964*1.6*J2964))))</f>
        <v>0</v>
      </c>
      <c r="N2964" s="111">
        <f>IF(M2964=0,0,(M2964/J2964))</f>
        <v>0</v>
      </c>
    </row>
    <row r="2965" spans="2:14">
      <c r="B2965" s="72">
        <v>127814</v>
      </c>
      <c r="C2965" s="23" t="s">
        <v>2448</v>
      </c>
      <c r="D2965" s="123">
        <f>SUMIF(B$3:B$3844,B2965,M$3:M$3844)/(SUMIF(B$3:B$3844,B2965,J$3:J$3844))</f>
        <v>0.82795063940702129</v>
      </c>
      <c r="E2965" s="47">
        <v>16044334</v>
      </c>
      <c r="F2965" s="48" t="s">
        <v>418</v>
      </c>
      <c r="G2965" s="117" t="s">
        <v>1186</v>
      </c>
      <c r="H2965" s="117"/>
      <c r="I2965" s="40"/>
      <c r="J2965" s="40">
        <v>726</v>
      </c>
      <c r="K2965" s="118">
        <v>2015</v>
      </c>
      <c r="L2965" s="119">
        <v>61.52</v>
      </c>
      <c r="M2965" s="110">
        <f>IF(L2965="",I2965,(MIN(J2965,(L2965*1.6*J2965))))</f>
        <v>726</v>
      </c>
      <c r="N2965" s="111">
        <f>IF(M2965=0,0,(M2965/J2965))</f>
        <v>1</v>
      </c>
    </row>
    <row r="2966" spans="2:14">
      <c r="B2966" s="73">
        <v>127814</v>
      </c>
      <c r="C2966" s="23" t="s">
        <v>2448</v>
      </c>
      <c r="D2966" s="123">
        <f>SUMIF(B$3:B$3844,B2966,M$3:M$3844)/(SUMIF(B$3:B$3844,B2966,J$3:J$3844))</f>
        <v>0.82795063940702129</v>
      </c>
      <c r="E2966" s="47">
        <v>16082547</v>
      </c>
      <c r="F2966" s="48" t="s">
        <v>1187</v>
      </c>
      <c r="G2966" s="117"/>
      <c r="H2966" s="117"/>
      <c r="I2966" s="40"/>
      <c r="J2966" s="40"/>
      <c r="K2966" s="118"/>
      <c r="L2966" s="119"/>
      <c r="M2966" s="110">
        <f>IF(L2966="",I2966,(MIN(J2966,(L2966*1.6*J2966))))</f>
        <v>0</v>
      </c>
      <c r="N2966" s="111">
        <f>IF(M2966=0,0,(M2966/J2966))</f>
        <v>0</v>
      </c>
    </row>
    <row r="2967" spans="2:14">
      <c r="B2967" s="72">
        <v>127814</v>
      </c>
      <c r="C2967" s="23" t="s">
        <v>2448</v>
      </c>
      <c r="D2967" s="123">
        <f>SUMIF(B$3:B$3844,B2967,M$3:M$3844)/(SUMIF(B$3:B$3844,B2967,J$3:J$3844))</f>
        <v>0.82795063940702129</v>
      </c>
      <c r="E2967" s="47">
        <v>38037</v>
      </c>
      <c r="F2967" s="48" t="s">
        <v>1188</v>
      </c>
      <c r="G2967" s="117" t="s">
        <v>1189</v>
      </c>
      <c r="H2967" s="117"/>
      <c r="I2967" s="40"/>
      <c r="J2967" s="40">
        <v>590</v>
      </c>
      <c r="K2967" s="118">
        <v>2015</v>
      </c>
      <c r="L2967" s="119">
        <v>61.52</v>
      </c>
      <c r="M2967" s="110">
        <f>IF(L2967="",I2967,(MIN(J2967,(L2967*1.6*J2967))))</f>
        <v>590</v>
      </c>
      <c r="N2967" s="111">
        <f>IF(M2967=0,0,(M2967/J2967))</f>
        <v>1</v>
      </c>
    </row>
    <row r="2968" spans="2:14">
      <c r="B2968" s="73">
        <v>127814</v>
      </c>
      <c r="C2968" s="23" t="s">
        <v>2448</v>
      </c>
      <c r="D2968" s="123">
        <f>SUMIF(B$3:B$3844,B2968,M$3:M$3844)/(SUMIF(B$3:B$3844,B2968,J$3:J$3844))</f>
        <v>0.82795063940702129</v>
      </c>
      <c r="E2968" s="47">
        <v>160817</v>
      </c>
      <c r="F2968" s="48" t="s">
        <v>176</v>
      </c>
      <c r="G2968" s="117" t="s">
        <v>1190</v>
      </c>
      <c r="H2968" s="117"/>
      <c r="I2968" s="40"/>
      <c r="J2968" s="40">
        <v>692</v>
      </c>
      <c r="K2968" s="118">
        <v>2015</v>
      </c>
      <c r="L2968" s="119">
        <v>61.52</v>
      </c>
      <c r="M2968" s="110">
        <f>IF(L2968="",I2968,(MIN(J2968,(L2968*1.6*J2968))))</f>
        <v>692</v>
      </c>
      <c r="N2968" s="111">
        <f>IF(M2968=0,0,(M2968/J2968))</f>
        <v>1</v>
      </c>
    </row>
    <row r="2969" spans="2:14">
      <c r="B2969" s="82">
        <v>127814</v>
      </c>
      <c r="C2969" s="23" t="s">
        <v>2448</v>
      </c>
      <c r="D2969" s="123">
        <f>SUMIF(B$3:B$3844,B2969,M$3:M$3844)/(SUMIF(B$3:B$3844,B2969,J$3:J$3844))</f>
        <v>0.82795063940702129</v>
      </c>
      <c r="E2969" s="47">
        <v>17002423</v>
      </c>
      <c r="F2969" s="48" t="s">
        <v>1191</v>
      </c>
      <c r="G2969" s="117"/>
      <c r="H2969" s="117"/>
      <c r="I2969" s="40"/>
      <c r="J2969" s="40">
        <v>1000</v>
      </c>
      <c r="K2969" s="118">
        <v>2015</v>
      </c>
      <c r="L2969" s="119">
        <v>60.12</v>
      </c>
      <c r="M2969" s="110">
        <f>IF(L2969="",I2969,(MIN(J2969,(L2969*1.6*J2969))))</f>
        <v>1000</v>
      </c>
      <c r="N2969" s="111">
        <f>IF(M2969=0,0,(M2969/J2969))</f>
        <v>1</v>
      </c>
    </row>
    <row r="2970" spans="2:14">
      <c r="B2970" s="73">
        <v>127814</v>
      </c>
      <c r="C2970" s="23" t="s">
        <v>2448</v>
      </c>
      <c r="D2970" s="123">
        <f>SUMIF(B$3:B$3844,B2970,M$3:M$3844)/(SUMIF(B$3:B$3844,B2970,J$3:J$3844))</f>
        <v>0.82795063940702129</v>
      </c>
      <c r="E2970" s="47">
        <v>38159</v>
      </c>
      <c r="F2970" s="48" t="s">
        <v>1337</v>
      </c>
      <c r="G2970" s="117" t="s">
        <v>1192</v>
      </c>
      <c r="H2970" s="117"/>
      <c r="I2970" s="40"/>
      <c r="J2970" s="40">
        <v>467</v>
      </c>
      <c r="K2970" s="118">
        <v>2015</v>
      </c>
      <c r="L2970" s="119">
        <v>61.52</v>
      </c>
      <c r="M2970" s="110">
        <f>IF(L2970="",I2970,(MIN(J2970,(L2970*1.6*J2970))))</f>
        <v>467</v>
      </c>
      <c r="N2970" s="111">
        <f>IF(M2970=0,0,(M2970/J2970))</f>
        <v>1</v>
      </c>
    </row>
    <row r="2971" spans="2:14">
      <c r="B2971" s="72">
        <v>127814</v>
      </c>
      <c r="C2971" s="23" t="s">
        <v>2448</v>
      </c>
      <c r="D2971" s="123">
        <f>SUMIF(B$3:B$3844,B2971,M$3:M$3844)/(SUMIF(B$3:B$3844,B2971,J$3:J$3844))</f>
        <v>0.82795063940702129</v>
      </c>
      <c r="E2971" s="47">
        <v>16083287</v>
      </c>
      <c r="F2971" s="48" t="s">
        <v>1193</v>
      </c>
      <c r="G2971" s="117" t="s">
        <v>1194</v>
      </c>
      <c r="H2971" s="117"/>
      <c r="I2971" s="40">
        <v>2</v>
      </c>
      <c r="J2971" s="40">
        <v>25</v>
      </c>
      <c r="K2971" s="118"/>
      <c r="L2971" s="119"/>
      <c r="M2971" s="110">
        <f>IF(L2971="",I2971,(MIN(J2971,(L2971*1.6*J2971))))</f>
        <v>2</v>
      </c>
      <c r="N2971" s="111">
        <f>IF(M2971=0,0,(M2971/J2971))</f>
        <v>0.08</v>
      </c>
    </row>
    <row r="2972" spans="2:14" ht="30">
      <c r="B2972" s="83">
        <v>127814</v>
      </c>
      <c r="C2972" s="23" t="s">
        <v>2448</v>
      </c>
      <c r="D2972" s="123">
        <f>SUMIF(B$3:B$3844,B2972,M$3:M$3844)/(SUMIF(B$3:B$3844,B2972,J$3:J$3844))</f>
        <v>0.82795063940702129</v>
      </c>
      <c r="E2972" s="47">
        <v>205859</v>
      </c>
      <c r="F2972" s="48" t="s">
        <v>1195</v>
      </c>
      <c r="G2972" s="117" t="s">
        <v>1196</v>
      </c>
      <c r="H2972" s="117"/>
      <c r="I2972" s="40">
        <v>10</v>
      </c>
      <c r="J2972" s="40">
        <v>25</v>
      </c>
      <c r="K2972" s="118"/>
      <c r="L2972" s="119"/>
      <c r="M2972" s="110">
        <f>IF(L2972="",I2972,(MIN(J2972,(L2972*1.6*J2972))))</f>
        <v>10</v>
      </c>
      <c r="N2972" s="111">
        <f>IF(M2972=0,0,(M2972/J2972))</f>
        <v>0.4</v>
      </c>
    </row>
    <row r="2973" spans="2:14">
      <c r="B2973" s="72">
        <v>127814</v>
      </c>
      <c r="C2973" s="23" t="s">
        <v>2448</v>
      </c>
      <c r="D2973" s="123">
        <f>SUMIF(B$3:B$3844,B2973,M$3:M$3844)/(SUMIF(B$3:B$3844,B2973,J$3:J$3844))</f>
        <v>0.82795063940702129</v>
      </c>
      <c r="E2973" s="47">
        <v>16082559</v>
      </c>
      <c r="F2973" s="48" t="s">
        <v>1338</v>
      </c>
      <c r="G2973" s="117" t="s">
        <v>1197</v>
      </c>
      <c r="H2973" s="117"/>
      <c r="I2973" s="40">
        <v>15</v>
      </c>
      <c r="J2973" s="40">
        <v>105</v>
      </c>
      <c r="K2973" s="118"/>
      <c r="L2973" s="119"/>
      <c r="M2973" s="110">
        <f>IF(L2973="",I2973,(MIN(J2973,(L2973*1.6*J2973))))</f>
        <v>15</v>
      </c>
      <c r="N2973" s="111">
        <f>IF(M2973=0,0,(M2973/J2973))</f>
        <v>0.14285714285714285</v>
      </c>
    </row>
    <row r="2974" spans="2:14">
      <c r="B2974" s="73">
        <v>127814</v>
      </c>
      <c r="C2974" s="23" t="s">
        <v>2448</v>
      </c>
      <c r="D2974" s="123">
        <f>SUMIF(B$3:B$3844,B2974,M$3:M$3844)/(SUMIF(B$3:B$3844,B2974,J$3:J$3844))</f>
        <v>0.82795063940702129</v>
      </c>
      <c r="E2974" s="47">
        <v>213298</v>
      </c>
      <c r="F2974" s="48" t="s">
        <v>1339</v>
      </c>
      <c r="G2974" s="117" t="s">
        <v>1198</v>
      </c>
      <c r="H2974" s="117"/>
      <c r="I2974" s="40">
        <v>19</v>
      </c>
      <c r="J2974" s="40">
        <v>19</v>
      </c>
      <c r="K2974" s="118"/>
      <c r="L2974" s="119"/>
      <c r="M2974" s="110">
        <f>IF(L2974="",I2974,(MIN(J2974,(L2974*1.6*J2974))))</f>
        <v>19</v>
      </c>
      <c r="N2974" s="111">
        <f>IF(M2974=0,0,(M2974/J2974))</f>
        <v>1</v>
      </c>
    </row>
    <row r="2975" spans="2:14">
      <c r="B2975" s="72">
        <v>127814</v>
      </c>
      <c r="C2975" s="23" t="s">
        <v>2448</v>
      </c>
      <c r="D2975" s="123">
        <f>SUMIF(B$3:B$3844,B2975,M$3:M$3844)/(SUMIF(B$3:B$3844,B2975,J$3:J$3844))</f>
        <v>0.82795063940702129</v>
      </c>
      <c r="E2975" s="47">
        <v>16082560</v>
      </c>
      <c r="F2975" s="48" t="s">
        <v>1340</v>
      </c>
      <c r="G2975" s="117" t="s">
        <v>1199</v>
      </c>
      <c r="H2975" s="117"/>
      <c r="I2975" s="40">
        <v>28</v>
      </c>
      <c r="J2975" s="40">
        <v>109</v>
      </c>
      <c r="K2975" s="118"/>
      <c r="L2975" s="119"/>
      <c r="M2975" s="110">
        <f>IF(L2975="",I2975,(MIN(J2975,(L2975*1.6*J2975))))</f>
        <v>28</v>
      </c>
      <c r="N2975" s="111">
        <f>IF(M2975=0,0,(M2975/J2975))</f>
        <v>0.25688073394495414</v>
      </c>
    </row>
    <row r="2976" spans="2:14">
      <c r="B2976" s="73">
        <v>127814</v>
      </c>
      <c r="C2976" s="23" t="s">
        <v>2448</v>
      </c>
      <c r="D2976" s="123">
        <f>SUMIF(B$3:B$3844,B2976,M$3:M$3844)/(SUMIF(B$3:B$3844,B2976,J$3:J$3844))</f>
        <v>0.82795063940702129</v>
      </c>
      <c r="E2976" s="47">
        <v>16082561</v>
      </c>
      <c r="F2976" s="48" t="s">
        <v>1200</v>
      </c>
      <c r="G2976" s="117" t="s">
        <v>1201</v>
      </c>
      <c r="H2976" s="117"/>
      <c r="I2976" s="40">
        <v>7</v>
      </c>
      <c r="J2976" s="40">
        <v>277</v>
      </c>
      <c r="K2976" s="118"/>
      <c r="L2976" s="119"/>
      <c r="M2976" s="110">
        <f>IF(L2976="",I2976,(MIN(J2976,(L2976*1.6*J2976))))</f>
        <v>7</v>
      </c>
      <c r="N2976" s="111">
        <f>IF(M2976=0,0,(M2976/J2976))</f>
        <v>2.5270758122743681E-2</v>
      </c>
    </row>
    <row r="2977" spans="2:14" ht="30">
      <c r="B2977" s="82">
        <v>127814</v>
      </c>
      <c r="C2977" s="23" t="s">
        <v>2448</v>
      </c>
      <c r="D2977" s="123">
        <f>SUMIF(B$3:B$3844,B2977,M$3:M$3844)/(SUMIF(B$3:B$3844,B2977,J$3:J$3844))</f>
        <v>0.82795063940702129</v>
      </c>
      <c r="E2977" s="47">
        <v>16082562</v>
      </c>
      <c r="F2977" s="48" t="s">
        <v>1202</v>
      </c>
      <c r="G2977" s="117" t="s">
        <v>1203</v>
      </c>
      <c r="H2977" s="117"/>
      <c r="I2977" s="40">
        <v>7</v>
      </c>
      <c r="J2977" s="40">
        <v>148</v>
      </c>
      <c r="K2977" s="118"/>
      <c r="L2977" s="119"/>
      <c r="M2977" s="110">
        <f>IF(L2977="",I2977,(MIN(J2977,(L2977*1.6*J2977))))</f>
        <v>7</v>
      </c>
      <c r="N2977" s="111">
        <f>IF(M2977=0,0,(M2977/J2977))</f>
        <v>4.72972972972973E-2</v>
      </c>
    </row>
    <row r="2978" spans="2:14">
      <c r="B2978" s="73">
        <v>127814</v>
      </c>
      <c r="C2978" s="23" t="s">
        <v>2448</v>
      </c>
      <c r="D2978" s="123">
        <f>SUMIF(B$3:B$3844,B2978,M$3:M$3844)/(SUMIF(B$3:B$3844,B2978,J$3:J$3844))</f>
        <v>0.82795063940702129</v>
      </c>
      <c r="E2978" s="47">
        <v>16082548</v>
      </c>
      <c r="F2978" s="48" t="s">
        <v>1204</v>
      </c>
      <c r="G2978" s="117">
        <v>1201590</v>
      </c>
      <c r="H2978" s="117"/>
      <c r="I2978" s="40"/>
      <c r="J2978" s="40" t="s">
        <v>264</v>
      </c>
      <c r="K2978" s="118"/>
      <c r="L2978" s="119"/>
      <c r="M2978" s="110">
        <f>IF(L2978="",I2978,(MIN(J2978,(L2978*1.6*J2978))))</f>
        <v>0</v>
      </c>
      <c r="N2978" s="111">
        <f>IF(M2978=0,0,(M2978/J2978))</f>
        <v>0</v>
      </c>
    </row>
    <row r="2979" spans="2:14">
      <c r="B2979" s="72">
        <v>127814</v>
      </c>
      <c r="C2979" s="23" t="s">
        <v>2448</v>
      </c>
      <c r="D2979" s="123">
        <f>SUMIF(B$3:B$3844,B2979,M$3:M$3844)/(SUMIF(B$3:B$3844,B2979,J$3:J$3844))</f>
        <v>0.82795063940702129</v>
      </c>
      <c r="E2979" s="47">
        <v>16082567</v>
      </c>
      <c r="F2979" s="48" t="s">
        <v>1205</v>
      </c>
      <c r="G2979" s="117" t="s">
        <v>1206</v>
      </c>
      <c r="H2979" s="117"/>
      <c r="I2979" s="40">
        <v>6</v>
      </c>
      <c r="J2979" s="40">
        <v>68</v>
      </c>
      <c r="K2979" s="118"/>
      <c r="L2979" s="119"/>
      <c r="M2979" s="110">
        <f>IF(L2979="",I2979,(MIN(J2979,(L2979*1.6*J2979))))</f>
        <v>6</v>
      </c>
      <c r="N2979" s="111">
        <f>IF(M2979=0,0,(M2979/J2979))</f>
        <v>8.8235294117647065E-2</v>
      </c>
    </row>
    <row r="2980" spans="2:14">
      <c r="B2980" s="83">
        <v>127814</v>
      </c>
      <c r="C2980" s="23" t="s">
        <v>2448</v>
      </c>
      <c r="D2980" s="123">
        <f>SUMIF(B$3:B$3844,B2980,M$3:M$3844)/(SUMIF(B$3:B$3844,B2980,J$3:J$3844))</f>
        <v>0.82795063940702129</v>
      </c>
      <c r="E2980" s="47">
        <v>16082564</v>
      </c>
      <c r="F2980" s="48" t="s">
        <v>1341</v>
      </c>
      <c r="G2980" s="117" t="s">
        <v>1207</v>
      </c>
      <c r="H2980" s="117"/>
      <c r="I2980" s="40"/>
      <c r="J2980" s="40">
        <v>0</v>
      </c>
      <c r="K2980" s="118"/>
      <c r="L2980" s="119"/>
      <c r="M2980" s="110">
        <f>IF(L2980="",I2980,(MIN(J2980,(L2980*1.6*J2980))))</f>
        <v>0</v>
      </c>
      <c r="N2980" s="111">
        <f>IF(M2980=0,0,(M2980/J2980))</f>
        <v>0</v>
      </c>
    </row>
    <row r="2981" spans="2:14">
      <c r="B2981" s="82">
        <v>127814</v>
      </c>
      <c r="C2981" s="23" t="s">
        <v>2448</v>
      </c>
      <c r="D2981" s="123">
        <f>SUMIF(B$3:B$3844,B2981,M$3:M$3844)/(SUMIF(B$3:B$3844,B2981,J$3:J$3844))</f>
        <v>0.82795063940702129</v>
      </c>
      <c r="E2981" s="47">
        <v>16082566</v>
      </c>
      <c r="F2981" s="48" t="s">
        <v>1208</v>
      </c>
      <c r="G2981" s="117" t="s">
        <v>1209</v>
      </c>
      <c r="H2981" s="117"/>
      <c r="I2981" s="40"/>
      <c r="J2981" s="40">
        <v>0</v>
      </c>
      <c r="K2981" s="118"/>
      <c r="L2981" s="119"/>
      <c r="M2981" s="110">
        <f>IF(L2981="",I2981,(MIN(J2981,(L2981*1.6*J2981))))</f>
        <v>0</v>
      </c>
      <c r="N2981" s="111">
        <f>IF(M2981=0,0,(M2981/J2981))</f>
        <v>0</v>
      </c>
    </row>
    <row r="2982" spans="2:14">
      <c r="B2982" s="73">
        <v>127814</v>
      </c>
      <c r="C2982" s="23" t="s">
        <v>2448</v>
      </c>
      <c r="D2982" s="123">
        <f>SUMIF(B$3:B$3844,B2982,M$3:M$3844)/(SUMIF(B$3:B$3844,B2982,J$3:J$3844))</f>
        <v>0.82795063940702129</v>
      </c>
      <c r="E2982" s="47">
        <v>38156</v>
      </c>
      <c r="F2982" s="48" t="s">
        <v>1342</v>
      </c>
      <c r="G2982" s="117" t="s">
        <v>1210</v>
      </c>
      <c r="H2982" s="117"/>
      <c r="I2982" s="40"/>
      <c r="J2982" s="40">
        <v>515</v>
      </c>
      <c r="K2982" s="118">
        <v>2015</v>
      </c>
      <c r="L2982" s="119">
        <v>61.52</v>
      </c>
      <c r="M2982" s="110">
        <f>IF(L2982="",I2982,(MIN(J2982,(L2982*1.6*J2982))))</f>
        <v>515</v>
      </c>
      <c r="N2982" s="111">
        <f>IF(M2982=0,0,(M2982/J2982))</f>
        <v>1</v>
      </c>
    </row>
    <row r="2983" spans="2:14">
      <c r="B2983" s="72">
        <v>127814</v>
      </c>
      <c r="C2983" s="23" t="s">
        <v>2448</v>
      </c>
      <c r="D2983" s="123">
        <f>SUMIF(B$3:B$3844,B2983,M$3:M$3844)/(SUMIF(B$3:B$3844,B2983,J$3:J$3844))</f>
        <v>0.82795063940702129</v>
      </c>
      <c r="E2983" s="47">
        <v>234333</v>
      </c>
      <c r="F2983" s="48" t="s">
        <v>1211</v>
      </c>
      <c r="G2983" s="117" t="s">
        <v>1212</v>
      </c>
      <c r="H2983" s="117"/>
      <c r="I2983" s="40"/>
      <c r="J2983" s="40">
        <v>799</v>
      </c>
      <c r="K2983" s="118">
        <v>2015</v>
      </c>
      <c r="L2983" s="119">
        <v>61.52</v>
      </c>
      <c r="M2983" s="110">
        <f>IF(L2983="",I2983,(MIN(J2983,(L2983*1.6*J2983))))</f>
        <v>799</v>
      </c>
      <c r="N2983" s="111">
        <f>IF(M2983=0,0,(M2983/J2983))</f>
        <v>1</v>
      </c>
    </row>
    <row r="2984" spans="2:14">
      <c r="B2984" s="73">
        <v>127814</v>
      </c>
      <c r="C2984" s="23" t="s">
        <v>2448</v>
      </c>
      <c r="D2984" s="123">
        <f>SUMIF(B$3:B$3844,B2984,M$3:M$3844)/(SUMIF(B$3:B$3844,B2984,J$3:J$3844))</f>
        <v>0.82795063940702129</v>
      </c>
      <c r="E2984" s="47">
        <v>38066</v>
      </c>
      <c r="F2984" s="48" t="s">
        <v>1213</v>
      </c>
      <c r="G2984" s="117" t="s">
        <v>1214</v>
      </c>
      <c r="H2984" s="117"/>
      <c r="I2984" s="40"/>
      <c r="J2984" s="40">
        <v>618</v>
      </c>
      <c r="K2984" s="118">
        <v>2015</v>
      </c>
      <c r="L2984" s="119">
        <v>61.52</v>
      </c>
      <c r="M2984" s="110">
        <f>IF(L2984="",I2984,(MIN(J2984,(L2984*1.6*J2984))))</f>
        <v>618</v>
      </c>
      <c r="N2984" s="111">
        <f>IF(M2984=0,0,(M2984/J2984))</f>
        <v>1</v>
      </c>
    </row>
    <row r="2985" spans="2:14">
      <c r="B2985" s="72">
        <v>127814</v>
      </c>
      <c r="C2985" s="23" t="s">
        <v>2448</v>
      </c>
      <c r="D2985" s="123">
        <f>SUMIF(B$3:B$3844,B2985,M$3:M$3844)/(SUMIF(B$3:B$3844,B2985,J$3:J$3844))</f>
        <v>0.82795063940702129</v>
      </c>
      <c r="E2985" s="47">
        <v>17002424</v>
      </c>
      <c r="F2985" s="48" t="s">
        <v>1215</v>
      </c>
      <c r="G2985" s="117">
        <v>1201590</v>
      </c>
      <c r="H2985" s="117"/>
      <c r="I2985" s="40"/>
      <c r="J2985" s="40">
        <v>175</v>
      </c>
      <c r="K2985" s="118">
        <v>2015</v>
      </c>
      <c r="L2985" s="119">
        <v>60.12</v>
      </c>
      <c r="M2985" s="110">
        <f>IF(L2985="",I2985,(MIN(J2985,(L2985*1.6*J2985))))</f>
        <v>175</v>
      </c>
      <c r="N2985" s="111">
        <f>IF(M2985=0,0,(M2985/J2985))</f>
        <v>1</v>
      </c>
    </row>
    <row r="2986" spans="2:14">
      <c r="B2986" s="73">
        <v>127814</v>
      </c>
      <c r="C2986" s="23" t="s">
        <v>2448</v>
      </c>
      <c r="D2986" s="123">
        <f>SUMIF(B$3:B$3844,B2986,M$3:M$3844)/(SUMIF(B$3:B$3844,B2986,J$3:J$3844))</f>
        <v>0.82795063940702129</v>
      </c>
      <c r="E2986" s="47">
        <v>38194</v>
      </c>
      <c r="F2986" s="48" t="s">
        <v>1343</v>
      </c>
      <c r="G2986" s="117" t="s">
        <v>1216</v>
      </c>
      <c r="H2986" s="117"/>
      <c r="I2986" s="40">
        <v>25</v>
      </c>
      <c r="J2986" s="40">
        <v>185</v>
      </c>
      <c r="K2986" s="118"/>
      <c r="L2986" s="119"/>
      <c r="M2986" s="110">
        <f>IF(L2986="",I2986,(MIN(J2986,(L2986*1.6*J2986))))</f>
        <v>25</v>
      </c>
      <c r="N2986" s="111">
        <f>IF(M2986=0,0,(M2986/J2986))</f>
        <v>0.13513513513513514</v>
      </c>
    </row>
    <row r="2987" spans="2:14" ht="30">
      <c r="B2987" s="72">
        <v>127814</v>
      </c>
      <c r="C2987" s="23" t="s">
        <v>2448</v>
      </c>
      <c r="D2987" s="123">
        <f>SUMIF(B$3:B$3844,B2987,M$3:M$3844)/(SUMIF(B$3:B$3844,B2987,J$3:J$3844))</f>
        <v>0.82795063940702129</v>
      </c>
      <c r="E2987" s="47">
        <v>38194</v>
      </c>
      <c r="F2987" s="48" t="s">
        <v>1344</v>
      </c>
      <c r="G2987" s="117"/>
      <c r="H2987" s="117" t="s">
        <v>1344</v>
      </c>
      <c r="I2987" s="40"/>
      <c r="J2987" s="40"/>
      <c r="K2987" s="118"/>
      <c r="L2987" s="119"/>
      <c r="M2987" s="110">
        <f>IF(L2987="",I2987,(MIN(J2987,(L2987*1.6*J2987))))</f>
        <v>0</v>
      </c>
      <c r="N2987" s="111">
        <f>IF(M2987=0,0,(M2987/J2987))</f>
        <v>0</v>
      </c>
    </row>
    <row r="2988" spans="2:14">
      <c r="B2988" s="73">
        <v>127814</v>
      </c>
      <c r="C2988" s="23" t="s">
        <v>2448</v>
      </c>
      <c r="D2988" s="123">
        <f>SUMIF(B$3:B$3844,B2988,M$3:M$3844)/(SUMIF(B$3:B$3844,B2988,J$3:J$3844))</f>
        <v>0.82795063940702129</v>
      </c>
      <c r="E2988" s="47">
        <v>16027067</v>
      </c>
      <c r="F2988" s="48" t="s">
        <v>1345</v>
      </c>
      <c r="G2988" s="117" t="s">
        <v>1217</v>
      </c>
      <c r="H2988" s="117"/>
      <c r="I2988" s="40">
        <v>1561</v>
      </c>
      <c r="J2988" s="40">
        <v>2532</v>
      </c>
      <c r="K2988" s="118"/>
      <c r="L2988" s="119"/>
      <c r="M2988" s="110">
        <f>IF(L2988="",I2988,(MIN(J2988,(L2988*1.6*J2988))))</f>
        <v>1561</v>
      </c>
      <c r="N2988" s="127">
        <f>IF(M2988=0,0,(M2988/J2988))</f>
        <v>0.61650868878357035</v>
      </c>
    </row>
    <row r="2989" spans="2:14">
      <c r="B2989" s="72">
        <v>127814</v>
      </c>
      <c r="C2989" s="23" t="s">
        <v>2448</v>
      </c>
      <c r="D2989" s="123">
        <f>SUMIF(B$3:B$3844,B2989,M$3:M$3844)/(SUMIF(B$3:B$3844,B2989,J$3:J$3844))</f>
        <v>0.82795063940702129</v>
      </c>
      <c r="E2989" s="47">
        <v>228416</v>
      </c>
      <c r="F2989" s="48" t="s">
        <v>1218</v>
      </c>
      <c r="G2989" s="117" t="s">
        <v>1219</v>
      </c>
      <c r="H2989" s="117"/>
      <c r="I2989" s="40">
        <v>644</v>
      </c>
      <c r="J2989" s="40">
        <v>984</v>
      </c>
      <c r="K2989" s="118"/>
      <c r="L2989" s="119"/>
      <c r="M2989" s="110">
        <f>IF(L2989="",I2989,(MIN(J2989,(L2989*1.6*J2989))))</f>
        <v>644</v>
      </c>
      <c r="N2989" s="127">
        <f>IF(M2989=0,0,(M2989/J2989))</f>
        <v>0.65447154471544711</v>
      </c>
    </row>
    <row r="2990" spans="2:14">
      <c r="B2990" s="73">
        <v>127814</v>
      </c>
      <c r="C2990" s="23" t="s">
        <v>2448</v>
      </c>
      <c r="D2990" s="123">
        <f>SUMIF(B$3:B$3844,B2990,M$3:M$3844)/(SUMIF(B$3:B$3844,B2990,J$3:J$3844))</f>
        <v>0.82795063940702129</v>
      </c>
      <c r="E2990" s="47">
        <v>38052</v>
      </c>
      <c r="F2990" s="48" t="s">
        <v>1346</v>
      </c>
      <c r="G2990" s="117" t="s">
        <v>1220</v>
      </c>
      <c r="H2990" s="117"/>
      <c r="I2990" s="40"/>
      <c r="J2990" s="40">
        <v>800</v>
      </c>
      <c r="K2990" s="118">
        <v>2015</v>
      </c>
      <c r="L2990" s="119">
        <v>61.52</v>
      </c>
      <c r="M2990" s="110">
        <f>IF(L2990="",I2990,(MIN(J2990,(L2990*1.6*J2990))))</f>
        <v>800</v>
      </c>
      <c r="N2990" s="111">
        <f>IF(M2990=0,0,(M2990/J2990))</f>
        <v>1</v>
      </c>
    </row>
    <row r="2991" spans="2:14">
      <c r="B2991" s="72">
        <v>127814</v>
      </c>
      <c r="C2991" s="23" t="s">
        <v>2448</v>
      </c>
      <c r="D2991" s="123">
        <f>SUMIF(B$3:B$3844,B2991,M$3:M$3844)/(SUMIF(B$3:B$3844,B2991,J$3:J$3844))</f>
        <v>0.82795063940702129</v>
      </c>
      <c r="E2991" s="47">
        <v>38148</v>
      </c>
      <c r="F2991" s="48" t="s">
        <v>1347</v>
      </c>
      <c r="G2991" s="117" t="s">
        <v>1221</v>
      </c>
      <c r="H2991" s="117"/>
      <c r="I2991" s="40"/>
      <c r="J2991" s="40">
        <v>281</v>
      </c>
      <c r="K2991" s="118">
        <v>2015</v>
      </c>
      <c r="L2991" s="119">
        <v>61.52</v>
      </c>
      <c r="M2991" s="110">
        <f>IF(L2991="",I2991,(MIN(J2991,(L2991*1.6*J2991))))</f>
        <v>281</v>
      </c>
      <c r="N2991" s="111">
        <f>IF(M2991=0,0,(M2991/J2991))</f>
        <v>1</v>
      </c>
    </row>
    <row r="2992" spans="2:14">
      <c r="B2992" s="73">
        <v>127814</v>
      </c>
      <c r="C2992" s="23" t="s">
        <v>2448</v>
      </c>
      <c r="D2992" s="123">
        <f>SUMIF(B$3:B$3844,B2992,M$3:M$3844)/(SUMIF(B$3:B$3844,B2992,J$3:J$3844))</f>
        <v>0.82795063940702129</v>
      </c>
      <c r="E2992" s="47">
        <v>38083</v>
      </c>
      <c r="F2992" s="48" t="s">
        <v>1348</v>
      </c>
      <c r="G2992" s="117" t="s">
        <v>1222</v>
      </c>
      <c r="H2992" s="117"/>
      <c r="I2992" s="40"/>
      <c r="J2992" s="40">
        <v>734</v>
      </c>
      <c r="K2992" s="118">
        <v>2015</v>
      </c>
      <c r="L2992" s="119">
        <v>61.52</v>
      </c>
      <c r="M2992" s="110">
        <f>IF(L2992="",I2992,(MIN(J2992,(L2992*1.6*J2992))))</f>
        <v>734</v>
      </c>
      <c r="N2992" s="111">
        <f>IF(M2992=0,0,(M2992/J2992))</f>
        <v>1</v>
      </c>
    </row>
    <row r="2993" spans="2:14">
      <c r="B2993" s="72">
        <v>127814</v>
      </c>
      <c r="C2993" s="23" t="s">
        <v>2448</v>
      </c>
      <c r="D2993" s="123">
        <f>SUMIF(B$3:B$3844,B2993,M$3:M$3844)/(SUMIF(B$3:B$3844,B2993,J$3:J$3844))</f>
        <v>0.82795063940702129</v>
      </c>
      <c r="E2993" s="47">
        <v>220881</v>
      </c>
      <c r="F2993" s="48" t="s">
        <v>1349</v>
      </c>
      <c r="G2993" s="117" t="s">
        <v>1223</v>
      </c>
      <c r="H2993" s="117"/>
      <c r="I2993" s="40"/>
      <c r="J2993" s="40">
        <v>930</v>
      </c>
      <c r="K2993" s="118">
        <v>2015</v>
      </c>
      <c r="L2993" s="119">
        <v>61.52</v>
      </c>
      <c r="M2993" s="110">
        <f>IF(L2993="",I2993,(MIN(J2993,(L2993*1.6*J2993))))</f>
        <v>930</v>
      </c>
      <c r="N2993" s="111">
        <f>IF(M2993=0,0,(M2993/J2993))</f>
        <v>1</v>
      </c>
    </row>
    <row r="2994" spans="2:14">
      <c r="B2994" s="73">
        <v>127814</v>
      </c>
      <c r="C2994" s="23" t="s">
        <v>2448</v>
      </c>
      <c r="D2994" s="123">
        <f>SUMIF(B$3:B$3844,B2994,M$3:M$3844)/(SUMIF(B$3:B$3844,B2994,J$3:J$3844))</f>
        <v>0.82795063940702129</v>
      </c>
      <c r="E2994" s="47">
        <v>38075</v>
      </c>
      <c r="F2994" s="48" t="s">
        <v>443</v>
      </c>
      <c r="G2994" s="117" t="s">
        <v>1224</v>
      </c>
      <c r="H2994" s="117"/>
      <c r="I2994" s="40"/>
      <c r="J2994" s="40">
        <v>769</v>
      </c>
      <c r="K2994" s="118">
        <v>2015</v>
      </c>
      <c r="L2994" s="119">
        <v>61.52</v>
      </c>
      <c r="M2994" s="110">
        <f>IF(L2994="",I2994,(MIN(J2994,(L2994*1.6*J2994))))</f>
        <v>769</v>
      </c>
      <c r="N2994" s="111">
        <f>IF(M2994=0,0,(M2994/J2994))</f>
        <v>1</v>
      </c>
    </row>
    <row r="2995" spans="2:14">
      <c r="B2995" s="72">
        <v>127814</v>
      </c>
      <c r="C2995" s="23" t="s">
        <v>2448</v>
      </c>
      <c r="D2995" s="123">
        <f>SUMIF(B$3:B$3844,B2995,M$3:M$3844)/(SUMIF(B$3:B$3844,B2995,J$3:J$3844))</f>
        <v>0.82795063940702129</v>
      </c>
      <c r="E2995" s="47">
        <v>38131</v>
      </c>
      <c r="F2995" s="48" t="s">
        <v>1350</v>
      </c>
      <c r="G2995" s="117" t="s">
        <v>1225</v>
      </c>
      <c r="H2995" s="117"/>
      <c r="I2995" s="40"/>
      <c r="J2995" s="40">
        <v>926</v>
      </c>
      <c r="K2995" s="118">
        <v>2015</v>
      </c>
      <c r="L2995" s="119">
        <v>61.52</v>
      </c>
      <c r="M2995" s="110">
        <f>IF(L2995="",I2995,(MIN(J2995,(L2995*1.6*J2995))))</f>
        <v>926</v>
      </c>
      <c r="N2995" s="111">
        <f>IF(M2995=0,0,(M2995/J2995))</f>
        <v>1</v>
      </c>
    </row>
    <row r="2996" spans="2:14">
      <c r="B2996" s="83">
        <v>127814</v>
      </c>
      <c r="C2996" s="23" t="s">
        <v>2448</v>
      </c>
      <c r="D2996" s="123">
        <f>SUMIF(B$3:B$3844,B2996,M$3:M$3844)/(SUMIF(B$3:B$3844,B2996,J$3:J$3844))</f>
        <v>0.82795063940702129</v>
      </c>
      <c r="E2996" s="47">
        <v>213304</v>
      </c>
      <c r="F2996" s="48" t="s">
        <v>1226</v>
      </c>
      <c r="G2996" s="117" t="s">
        <v>1227</v>
      </c>
      <c r="H2996" s="117"/>
      <c r="I2996" s="40"/>
      <c r="J2996" s="40">
        <v>1</v>
      </c>
      <c r="K2996" s="118"/>
      <c r="L2996" s="119"/>
      <c r="M2996" s="110">
        <f>IF(L2996="",I2996,(MIN(J2996,(L2996*1.6*J2996))))</f>
        <v>0</v>
      </c>
      <c r="N2996" s="111">
        <f>IF(M2996=0,0,(M2996/J2996))</f>
        <v>0</v>
      </c>
    </row>
    <row r="2997" spans="2:14">
      <c r="B2997" s="72">
        <v>127814</v>
      </c>
      <c r="C2997" s="23" t="s">
        <v>2448</v>
      </c>
      <c r="D2997" s="123">
        <f>SUMIF(B$3:B$3844,B2997,M$3:M$3844)/(SUMIF(B$3:B$3844,B2997,J$3:J$3844))</f>
        <v>0.82795063940702129</v>
      </c>
      <c r="E2997" s="47">
        <v>16044335</v>
      </c>
      <c r="F2997" s="48" t="s">
        <v>1351</v>
      </c>
      <c r="G2997" s="117" t="s">
        <v>1228</v>
      </c>
      <c r="H2997" s="117"/>
      <c r="I2997" s="40"/>
      <c r="J2997" s="40">
        <v>642</v>
      </c>
      <c r="K2997" s="118">
        <v>2015</v>
      </c>
      <c r="L2997" s="119">
        <v>61.52</v>
      </c>
      <c r="M2997" s="110">
        <f>IF(L2997="",I2997,(MIN(J2997,(L2997*1.6*J2997))))</f>
        <v>642</v>
      </c>
      <c r="N2997" s="111">
        <f>IF(M2997=0,0,(M2997/J2997))</f>
        <v>1</v>
      </c>
    </row>
    <row r="2998" spans="2:14">
      <c r="B2998" s="73">
        <v>127814</v>
      </c>
      <c r="C2998" s="23" t="s">
        <v>2448</v>
      </c>
      <c r="D2998" s="123">
        <f>SUMIF(B$3:B$3844,B2998,M$3:M$3844)/(SUMIF(B$3:B$3844,B2998,J$3:J$3844))</f>
        <v>0.82795063940702129</v>
      </c>
      <c r="E2998" s="47">
        <v>220882</v>
      </c>
      <c r="F2998" s="48" t="s">
        <v>1352</v>
      </c>
      <c r="G2998" s="117" t="s">
        <v>1229</v>
      </c>
      <c r="H2998" s="117"/>
      <c r="I2998" s="40"/>
      <c r="J2998" s="40">
        <v>815</v>
      </c>
      <c r="K2998" s="118">
        <v>2015</v>
      </c>
      <c r="L2998" s="119">
        <v>61.52</v>
      </c>
      <c r="M2998" s="110">
        <f>IF(L2998="",I2998,(MIN(J2998,(L2998*1.6*J2998))))</f>
        <v>815</v>
      </c>
      <c r="N2998" s="111">
        <f>IF(M2998=0,0,(M2998/J2998))</f>
        <v>1</v>
      </c>
    </row>
    <row r="2999" spans="2:14">
      <c r="B2999" s="72">
        <v>127814</v>
      </c>
      <c r="C2999" s="23" t="s">
        <v>2448</v>
      </c>
      <c r="D2999" s="123">
        <f>SUMIF(B$3:B$3844,B2999,M$3:M$3844)/(SUMIF(B$3:B$3844,B2999,J$3:J$3844))</f>
        <v>0.82795063940702129</v>
      </c>
      <c r="E2999" s="47">
        <v>38068</v>
      </c>
      <c r="F2999" s="48" t="s">
        <v>1353</v>
      </c>
      <c r="G2999" s="117" t="s">
        <v>1230</v>
      </c>
      <c r="H2999" s="117"/>
      <c r="I2999" s="40"/>
      <c r="J2999" s="40">
        <v>628</v>
      </c>
      <c r="K2999" s="118">
        <v>2015</v>
      </c>
      <c r="L2999" s="119">
        <v>61.52</v>
      </c>
      <c r="M2999" s="110">
        <f>IF(L2999="",I2999,(MIN(J2999,(L2999*1.6*J2999))))</f>
        <v>628</v>
      </c>
      <c r="N2999" s="111">
        <f>IF(M2999=0,0,(M2999/J2999))</f>
        <v>1</v>
      </c>
    </row>
    <row r="3000" spans="2:14">
      <c r="B3000" s="73">
        <v>127814</v>
      </c>
      <c r="C3000" s="23" t="s">
        <v>2448</v>
      </c>
      <c r="D3000" s="123">
        <f>SUMIF(B$3:B$3844,B3000,M$3:M$3844)/(SUMIF(B$3:B$3844,B3000,J$3:J$3844))</f>
        <v>0.82795063940702129</v>
      </c>
      <c r="E3000" s="47">
        <v>16055557</v>
      </c>
      <c r="F3000" s="48" t="s">
        <v>1231</v>
      </c>
      <c r="G3000" s="117"/>
      <c r="H3000" s="117"/>
      <c r="I3000" s="40"/>
      <c r="J3000" s="40" t="s">
        <v>264</v>
      </c>
      <c r="K3000" s="118"/>
      <c r="L3000" s="119"/>
      <c r="M3000" s="110">
        <f>IF(L3000="",I3000,(MIN(J3000,(L3000*1.6*J3000))))</f>
        <v>0</v>
      </c>
      <c r="N3000" s="111">
        <f>IF(M3000=0,0,(M3000/J3000))</f>
        <v>0</v>
      </c>
    </row>
    <row r="3001" spans="2:14">
      <c r="B3001" s="72">
        <v>127814</v>
      </c>
      <c r="C3001" s="23" t="s">
        <v>2448</v>
      </c>
      <c r="D3001" s="123">
        <f>SUMIF(B$3:B$3844,B3001,M$3:M$3844)/(SUMIF(B$3:B$3844,B3001,J$3:J$3844))</f>
        <v>0.82795063940702129</v>
      </c>
      <c r="E3001" s="47">
        <v>16072346</v>
      </c>
      <c r="F3001" s="48" t="s">
        <v>1354</v>
      </c>
      <c r="G3001" s="117" t="s">
        <v>1232</v>
      </c>
      <c r="H3001" s="117"/>
      <c r="I3001" s="40">
        <v>243</v>
      </c>
      <c r="J3001" s="40">
        <v>1165</v>
      </c>
      <c r="K3001" s="118"/>
      <c r="L3001" s="119"/>
      <c r="M3001" s="110">
        <f>IF(L3001="",I3001,(MIN(J3001,(L3001*1.6*J3001))))</f>
        <v>243</v>
      </c>
      <c r="N3001" s="111">
        <f>IF(M3001=0,0,(M3001/J3001))</f>
        <v>0.20858369098712445</v>
      </c>
    </row>
    <row r="3002" spans="2:14">
      <c r="B3002" s="73">
        <v>127814</v>
      </c>
      <c r="C3002" s="23" t="s">
        <v>2448</v>
      </c>
      <c r="D3002" s="123">
        <f>SUMIF(B$3:B$3844,B3002,M$3:M$3844)/(SUMIF(B$3:B$3844,B3002,J$3:J$3844))</f>
        <v>0.82795063940702129</v>
      </c>
      <c r="E3002" s="47">
        <v>38046</v>
      </c>
      <c r="F3002" s="48" t="s">
        <v>1355</v>
      </c>
      <c r="G3002" s="117" t="s">
        <v>1233</v>
      </c>
      <c r="H3002" s="117"/>
      <c r="I3002" s="40"/>
      <c r="J3002" s="40">
        <v>477</v>
      </c>
      <c r="K3002" s="118">
        <v>2015</v>
      </c>
      <c r="L3002" s="119">
        <v>61.52</v>
      </c>
      <c r="M3002" s="110">
        <f>IF(L3002="",I3002,(MIN(J3002,(L3002*1.6*J3002))))</f>
        <v>477</v>
      </c>
      <c r="N3002" s="111">
        <f>IF(M3002=0,0,(M3002/J3002))</f>
        <v>1</v>
      </c>
    </row>
    <row r="3003" spans="2:14">
      <c r="B3003" s="72">
        <v>127814</v>
      </c>
      <c r="C3003" s="23" t="s">
        <v>2448</v>
      </c>
      <c r="D3003" s="123">
        <f>SUMIF(B$3:B$3844,B3003,M$3:M$3844)/(SUMIF(B$3:B$3844,B3003,J$3:J$3844))</f>
        <v>0.82795063940702129</v>
      </c>
      <c r="E3003" s="47">
        <v>38045</v>
      </c>
      <c r="F3003" s="48" t="s">
        <v>1356</v>
      </c>
      <c r="G3003" s="117" t="s">
        <v>1234</v>
      </c>
      <c r="H3003" s="117"/>
      <c r="I3003" s="40"/>
      <c r="J3003" s="40">
        <v>712</v>
      </c>
      <c r="K3003" s="118">
        <v>2015</v>
      </c>
      <c r="L3003" s="119">
        <v>61.52</v>
      </c>
      <c r="M3003" s="110">
        <f>IF(L3003="",I3003,(MIN(J3003,(L3003*1.6*J3003))))</f>
        <v>712</v>
      </c>
      <c r="N3003" s="111">
        <f>IF(M3003=0,0,(M3003/J3003))</f>
        <v>1</v>
      </c>
    </row>
    <row r="3004" spans="2:14">
      <c r="B3004" s="73">
        <v>127814</v>
      </c>
      <c r="C3004" s="23" t="s">
        <v>2448</v>
      </c>
      <c r="D3004" s="123">
        <f>SUMIF(B$3:B$3844,B3004,M$3:M$3844)/(SUMIF(B$3:B$3844,B3004,J$3:J$3844))</f>
        <v>0.82795063940702129</v>
      </c>
      <c r="E3004" s="47">
        <v>16061404</v>
      </c>
      <c r="F3004" s="48" t="s">
        <v>1357</v>
      </c>
      <c r="G3004" s="117" t="s">
        <v>1235</v>
      </c>
      <c r="H3004" s="117"/>
      <c r="I3004" s="40"/>
      <c r="J3004" s="40">
        <v>833</v>
      </c>
      <c r="K3004" s="118">
        <v>2015</v>
      </c>
      <c r="L3004" s="119">
        <v>61.52</v>
      </c>
      <c r="M3004" s="110">
        <f>IF(L3004="",I3004,(MIN(J3004,(L3004*1.6*J3004))))</f>
        <v>833</v>
      </c>
      <c r="N3004" s="111">
        <f>IF(M3004=0,0,(M3004/J3004))</f>
        <v>1</v>
      </c>
    </row>
    <row r="3005" spans="2:14">
      <c r="B3005" s="72">
        <v>127814</v>
      </c>
      <c r="C3005" s="23" t="s">
        <v>2448</v>
      </c>
      <c r="D3005" s="123">
        <f>SUMIF(B$3:B$3844,B3005,M$3:M$3844)/(SUMIF(B$3:B$3844,B3005,J$3:J$3844))</f>
        <v>0.82795063940702129</v>
      </c>
      <c r="E3005" s="47">
        <v>38147</v>
      </c>
      <c r="F3005" s="48" t="s">
        <v>1358</v>
      </c>
      <c r="G3005" s="117" t="s">
        <v>1236</v>
      </c>
      <c r="H3005" s="117"/>
      <c r="I3005" s="40"/>
      <c r="J3005" s="40">
        <v>642</v>
      </c>
      <c r="K3005" s="118">
        <v>2015</v>
      </c>
      <c r="L3005" s="119">
        <v>61.52</v>
      </c>
      <c r="M3005" s="110">
        <f>IF(L3005="",I3005,(MIN(J3005,(L3005*1.6*J3005))))</f>
        <v>642</v>
      </c>
      <c r="N3005" s="111">
        <f>IF(M3005=0,0,(M3005/J3005))</f>
        <v>1</v>
      </c>
    </row>
    <row r="3006" spans="2:14">
      <c r="B3006" s="73">
        <v>127814</v>
      </c>
      <c r="C3006" s="23" t="s">
        <v>2448</v>
      </c>
      <c r="D3006" s="123">
        <f>SUMIF(B$3:B$3844,B3006,M$3:M$3844)/(SUMIF(B$3:B$3844,B3006,J$3:J$3844))</f>
        <v>0.82795063940702129</v>
      </c>
      <c r="E3006" s="47">
        <v>16044336</v>
      </c>
      <c r="F3006" s="48" t="s">
        <v>1359</v>
      </c>
      <c r="G3006" s="117" t="s">
        <v>1237</v>
      </c>
      <c r="H3006" s="117"/>
      <c r="I3006" s="40"/>
      <c r="J3006" s="40">
        <v>1217</v>
      </c>
      <c r="K3006" s="118">
        <v>2015</v>
      </c>
      <c r="L3006" s="119">
        <v>61.52</v>
      </c>
      <c r="M3006" s="110">
        <f>IF(L3006="",I3006,(MIN(J3006,(L3006*1.6*J3006))))</f>
        <v>1217</v>
      </c>
      <c r="N3006" s="111">
        <f>IF(M3006=0,0,(M3006/J3006))</f>
        <v>1</v>
      </c>
    </row>
    <row r="3007" spans="2:14">
      <c r="B3007" s="72">
        <v>127814</v>
      </c>
      <c r="C3007" s="23" t="s">
        <v>2448</v>
      </c>
      <c r="D3007" s="123">
        <f>SUMIF(B$3:B$3844,B3007,M$3:M$3844)/(SUMIF(B$3:B$3844,B3007,J$3:J$3844))</f>
        <v>0.82795063940702129</v>
      </c>
      <c r="E3007" s="47">
        <v>16082550</v>
      </c>
      <c r="F3007" s="48" t="s">
        <v>1360</v>
      </c>
      <c r="G3007" s="117"/>
      <c r="H3007" s="117"/>
      <c r="I3007" s="40"/>
      <c r="J3007" s="40" t="s">
        <v>264</v>
      </c>
      <c r="K3007" s="118"/>
      <c r="L3007" s="119"/>
      <c r="M3007" s="110">
        <f>IF(L3007="",I3007,(MIN(J3007,(L3007*1.6*J3007))))</f>
        <v>0</v>
      </c>
      <c r="N3007" s="111">
        <f>IF(M3007=0,0,(M3007/J3007))</f>
        <v>0</v>
      </c>
    </row>
    <row r="3008" spans="2:14">
      <c r="B3008" s="73">
        <v>127814</v>
      </c>
      <c r="C3008" s="23" t="s">
        <v>2448</v>
      </c>
      <c r="D3008" s="123">
        <f>SUMIF(B$3:B$3844,B3008,M$3:M$3844)/(SUMIF(B$3:B$3844,B3008,J$3:J$3844))</f>
        <v>0.82795063940702129</v>
      </c>
      <c r="E3008" s="47">
        <v>16082573</v>
      </c>
      <c r="F3008" s="48" t="s">
        <v>1238</v>
      </c>
      <c r="G3008" s="117" t="s">
        <v>1239</v>
      </c>
      <c r="H3008" s="117"/>
      <c r="I3008" s="40">
        <v>4</v>
      </c>
      <c r="J3008" s="40">
        <v>55</v>
      </c>
      <c r="K3008" s="118"/>
      <c r="L3008" s="119"/>
      <c r="M3008" s="110">
        <f>IF(L3008="",I3008,(MIN(J3008,(L3008*1.6*J3008))))</f>
        <v>4</v>
      </c>
      <c r="N3008" s="111">
        <f>IF(M3008=0,0,(M3008/J3008))</f>
        <v>7.2727272727272724E-2</v>
      </c>
    </row>
    <row r="3009" spans="2:14">
      <c r="B3009" s="72">
        <v>127814</v>
      </c>
      <c r="C3009" s="23" t="s">
        <v>2448</v>
      </c>
      <c r="D3009" s="123">
        <f>SUMIF(B$3:B$3844,B3009,M$3:M$3844)/(SUMIF(B$3:B$3844,B3009,J$3:J$3844))</f>
        <v>0.82795063940702129</v>
      </c>
      <c r="E3009" s="47">
        <v>16082551</v>
      </c>
      <c r="F3009" s="48" t="s">
        <v>1361</v>
      </c>
      <c r="G3009" s="117"/>
      <c r="H3009" s="117"/>
      <c r="I3009" s="40"/>
      <c r="J3009" s="40" t="s">
        <v>264</v>
      </c>
      <c r="K3009" s="118"/>
      <c r="L3009" s="119"/>
      <c r="M3009" s="110">
        <f>IF(L3009="",I3009,(MIN(J3009,(L3009*1.6*J3009))))</f>
        <v>0</v>
      </c>
      <c r="N3009" s="111">
        <f>IF(M3009=0,0,(M3009/J3009))</f>
        <v>0</v>
      </c>
    </row>
    <row r="3010" spans="2:14">
      <c r="B3010" s="73">
        <v>127814</v>
      </c>
      <c r="C3010" s="23" t="s">
        <v>2448</v>
      </c>
      <c r="D3010" s="123">
        <f>SUMIF(B$3:B$3844,B3010,M$3:M$3844)/(SUMIF(B$3:B$3844,B3010,J$3:J$3844))</f>
        <v>0.82795063940702129</v>
      </c>
      <c r="E3010" s="47">
        <v>38104</v>
      </c>
      <c r="F3010" s="48" t="s">
        <v>1362</v>
      </c>
      <c r="G3010" s="117" t="s">
        <v>1240</v>
      </c>
      <c r="H3010" s="117"/>
      <c r="I3010" s="40">
        <v>153</v>
      </c>
      <c r="J3010" s="40">
        <v>397</v>
      </c>
      <c r="K3010" s="118"/>
      <c r="L3010" s="119"/>
      <c r="M3010" s="110">
        <f>IF(L3010="",I3010,(MIN(J3010,(L3010*1.6*J3010))))</f>
        <v>153</v>
      </c>
      <c r="N3010" s="111">
        <f>IF(M3010=0,0,(M3010/J3010))</f>
        <v>0.38539042821158692</v>
      </c>
    </row>
    <row r="3011" spans="2:14">
      <c r="B3011" s="72">
        <v>127814</v>
      </c>
      <c r="C3011" s="23" t="s">
        <v>2448</v>
      </c>
      <c r="D3011" s="123">
        <f>SUMIF(B$3:B$3844,B3011,M$3:M$3844)/(SUMIF(B$3:B$3844,B3011,J$3:J$3844))</f>
        <v>0.82795063940702129</v>
      </c>
      <c r="E3011" s="47">
        <v>38076</v>
      </c>
      <c r="F3011" s="48" t="s">
        <v>1363</v>
      </c>
      <c r="G3011" s="117" t="s">
        <v>1241</v>
      </c>
      <c r="H3011" s="117"/>
      <c r="I3011" s="40">
        <v>307</v>
      </c>
      <c r="J3011" s="40">
        <v>729</v>
      </c>
      <c r="K3011" s="118"/>
      <c r="L3011" s="119"/>
      <c r="M3011" s="110">
        <f>IF(L3011="",I3011,(MIN(J3011,(L3011*1.6*J3011))))</f>
        <v>307</v>
      </c>
      <c r="N3011" s="111">
        <f>IF(M3011=0,0,(M3011/J3011))</f>
        <v>0.42112482853223593</v>
      </c>
    </row>
    <row r="3012" spans="2:14">
      <c r="B3012" s="73">
        <v>127814</v>
      </c>
      <c r="C3012" s="23" t="s">
        <v>2448</v>
      </c>
      <c r="D3012" s="123">
        <f>SUMIF(B$3:B$3844,B3012,M$3:M$3844)/(SUMIF(B$3:B$3844,B3012,J$3:J$3844))</f>
        <v>0.82795063940702129</v>
      </c>
      <c r="E3012" s="47">
        <v>38176</v>
      </c>
      <c r="F3012" s="48" t="s">
        <v>1364</v>
      </c>
      <c r="G3012" s="117" t="s">
        <v>1242</v>
      </c>
      <c r="H3012" s="117"/>
      <c r="I3012" s="40"/>
      <c r="J3012" s="40">
        <v>486</v>
      </c>
      <c r="K3012" s="118">
        <v>2015</v>
      </c>
      <c r="L3012" s="119">
        <v>61.52</v>
      </c>
      <c r="M3012" s="110">
        <f>IF(L3012="",I3012,(MIN(J3012,(L3012*1.6*J3012))))</f>
        <v>486</v>
      </c>
      <c r="N3012" s="111">
        <f>IF(M3012=0,0,(M3012/J3012))</f>
        <v>1</v>
      </c>
    </row>
    <row r="3013" spans="2:14">
      <c r="B3013" s="72">
        <v>127814</v>
      </c>
      <c r="C3013" s="23" t="s">
        <v>2448</v>
      </c>
      <c r="D3013" s="123">
        <f>SUMIF(B$3:B$3844,B3013,M$3:M$3844)/(SUMIF(B$3:B$3844,B3013,J$3:J$3844))</f>
        <v>0.82795063940702129</v>
      </c>
      <c r="E3013" s="47">
        <v>38088</v>
      </c>
      <c r="F3013" s="48" t="s">
        <v>1243</v>
      </c>
      <c r="G3013" s="117" t="s">
        <v>1244</v>
      </c>
      <c r="H3013" s="117"/>
      <c r="I3013" s="40"/>
      <c r="J3013" s="40">
        <v>652</v>
      </c>
      <c r="K3013" s="118">
        <v>2015</v>
      </c>
      <c r="L3013" s="119">
        <v>61.52</v>
      </c>
      <c r="M3013" s="110">
        <f>IF(L3013="",I3013,(MIN(J3013,(L3013*1.6*J3013))))</f>
        <v>652</v>
      </c>
      <c r="N3013" s="111">
        <f>IF(M3013=0,0,(M3013/J3013))</f>
        <v>1</v>
      </c>
    </row>
    <row r="3014" spans="2:14">
      <c r="B3014" s="73">
        <v>127814</v>
      </c>
      <c r="C3014" s="23" t="s">
        <v>2448</v>
      </c>
      <c r="D3014" s="123">
        <f>SUMIF(B$3:B$3844,B3014,M$3:M$3844)/(SUMIF(B$3:B$3844,B3014,J$3:J$3844))</f>
        <v>0.82795063940702129</v>
      </c>
      <c r="E3014" s="47">
        <v>38062</v>
      </c>
      <c r="F3014" s="48" t="s">
        <v>1245</v>
      </c>
      <c r="G3014" s="117" t="s">
        <v>1246</v>
      </c>
      <c r="H3014" s="117"/>
      <c r="I3014" s="40">
        <v>443</v>
      </c>
      <c r="J3014" s="40">
        <v>771</v>
      </c>
      <c r="K3014" s="118"/>
      <c r="L3014" s="119"/>
      <c r="M3014" s="110">
        <f>IF(L3014="",I3014,(MIN(J3014,(L3014*1.6*J3014))))</f>
        <v>443</v>
      </c>
      <c r="N3014" s="111">
        <f>IF(M3014=0,0,(M3014/J3014))</f>
        <v>0.57457846952010372</v>
      </c>
    </row>
    <row r="3015" spans="2:14">
      <c r="B3015" s="72">
        <v>127814</v>
      </c>
      <c r="C3015" s="23" t="s">
        <v>2448</v>
      </c>
      <c r="D3015" s="123">
        <f>SUMIF(B$3:B$3844,B3015,M$3:M$3844)/(SUMIF(B$3:B$3844,B3015,J$3:J$3844))</f>
        <v>0.82795063940702129</v>
      </c>
      <c r="E3015" s="47">
        <v>38082</v>
      </c>
      <c r="F3015" s="48" t="s">
        <v>1247</v>
      </c>
      <c r="G3015" s="117" t="s">
        <v>1248</v>
      </c>
      <c r="H3015" s="117"/>
      <c r="I3015" s="40"/>
      <c r="J3015" s="40">
        <v>0</v>
      </c>
      <c r="K3015" s="118"/>
      <c r="L3015" s="119"/>
      <c r="M3015" s="110">
        <f>IF(L3015="",I3015,(MIN(J3015,(L3015*1.6*J3015))))</f>
        <v>0</v>
      </c>
      <c r="N3015" s="111">
        <f>IF(M3015=0,0,(M3015/J3015))</f>
        <v>0</v>
      </c>
    </row>
    <row r="3016" spans="2:14">
      <c r="B3016" s="73">
        <v>127814</v>
      </c>
      <c r="C3016" s="23" t="s">
        <v>2448</v>
      </c>
      <c r="D3016" s="123">
        <f>SUMIF(B$3:B$3844,B3016,M$3:M$3844)/(SUMIF(B$3:B$3844,B3016,J$3:J$3844))</f>
        <v>0.82795063940702129</v>
      </c>
      <c r="E3016" s="47">
        <v>38190</v>
      </c>
      <c r="F3016" s="48" t="s">
        <v>1365</v>
      </c>
      <c r="G3016" s="117" t="s">
        <v>1249</v>
      </c>
      <c r="H3016" s="117"/>
      <c r="I3016" s="40"/>
      <c r="J3016" s="40">
        <v>758</v>
      </c>
      <c r="K3016" s="118">
        <v>2015</v>
      </c>
      <c r="L3016" s="119">
        <v>61.52</v>
      </c>
      <c r="M3016" s="110">
        <f>IF(L3016="",I3016,(MIN(J3016,(L3016*1.6*J3016))))</f>
        <v>758</v>
      </c>
      <c r="N3016" s="111">
        <f>IF(M3016=0,0,(M3016/J3016))</f>
        <v>1</v>
      </c>
    </row>
    <row r="3017" spans="2:14">
      <c r="B3017" s="72">
        <v>127814</v>
      </c>
      <c r="C3017" s="23" t="s">
        <v>2448</v>
      </c>
      <c r="D3017" s="123">
        <f>SUMIF(B$3:B$3844,B3017,M$3:M$3844)/(SUMIF(B$3:B$3844,B3017,J$3:J$3844))</f>
        <v>0.82795063940702129</v>
      </c>
      <c r="E3017" s="47">
        <v>16055560</v>
      </c>
      <c r="F3017" s="48" t="s">
        <v>1366</v>
      </c>
      <c r="G3017" s="117"/>
      <c r="H3017" s="117"/>
      <c r="I3017" s="40"/>
      <c r="J3017" s="40" t="s">
        <v>264</v>
      </c>
      <c r="K3017" s="118"/>
      <c r="L3017" s="119"/>
      <c r="M3017" s="110">
        <f>IF(L3017="",I3017,(MIN(J3017,(L3017*1.6*J3017))))</f>
        <v>0</v>
      </c>
      <c r="N3017" s="111">
        <f>IF(M3017=0,0,(M3017/J3017))</f>
        <v>0</v>
      </c>
    </row>
    <row r="3018" spans="2:14">
      <c r="B3018" s="73">
        <v>127814</v>
      </c>
      <c r="C3018" s="23" t="s">
        <v>2448</v>
      </c>
      <c r="D3018" s="123">
        <f>SUMIF(B$3:B$3844,B3018,M$3:M$3844)/(SUMIF(B$3:B$3844,B3018,J$3:J$3844))</f>
        <v>0.82795063940702129</v>
      </c>
      <c r="E3018" s="47">
        <v>38065</v>
      </c>
      <c r="F3018" s="48" t="s">
        <v>1367</v>
      </c>
      <c r="G3018" s="117" t="s">
        <v>1250</v>
      </c>
      <c r="H3018" s="117"/>
      <c r="I3018" s="40"/>
      <c r="J3018" s="40">
        <v>530</v>
      </c>
      <c r="K3018" s="118">
        <v>2015</v>
      </c>
      <c r="L3018" s="119">
        <v>61.52</v>
      </c>
      <c r="M3018" s="110">
        <f>IF(L3018="",I3018,(MIN(J3018,(L3018*1.6*J3018))))</f>
        <v>530</v>
      </c>
      <c r="N3018" s="111">
        <f>IF(M3018=0,0,(M3018/J3018))</f>
        <v>1</v>
      </c>
    </row>
    <row r="3019" spans="2:14">
      <c r="B3019" s="72">
        <v>127814</v>
      </c>
      <c r="C3019" s="23" t="s">
        <v>2448</v>
      </c>
      <c r="D3019" s="123">
        <f>SUMIF(B$3:B$3844,B3019,M$3:M$3844)/(SUMIF(B$3:B$3844,B3019,J$3:J$3844))</f>
        <v>0.82795063940702129</v>
      </c>
      <c r="E3019" s="47">
        <v>16061470</v>
      </c>
      <c r="F3019" s="48" t="s">
        <v>1368</v>
      </c>
      <c r="G3019" s="117" t="s">
        <v>1251</v>
      </c>
      <c r="H3019" s="117"/>
      <c r="I3019" s="40"/>
      <c r="J3019" s="40">
        <v>36</v>
      </c>
      <c r="K3019" s="118">
        <v>2015</v>
      </c>
      <c r="L3019" s="119">
        <v>61.52</v>
      </c>
      <c r="M3019" s="110">
        <f>IF(L3019="",I3019,(MIN(J3019,(L3019*1.6*J3019))))</f>
        <v>36</v>
      </c>
      <c r="N3019" s="111">
        <f>IF(M3019=0,0,(M3019/J3019))</f>
        <v>1</v>
      </c>
    </row>
    <row r="3020" spans="2:14">
      <c r="B3020" s="73">
        <v>127814</v>
      </c>
      <c r="C3020" s="23" t="s">
        <v>2448</v>
      </c>
      <c r="D3020" s="123">
        <f>SUMIF(B$3:B$3844,B3020,M$3:M$3844)/(SUMIF(B$3:B$3844,B3020,J$3:J$3844))</f>
        <v>0.82795063940702129</v>
      </c>
      <c r="E3020" s="47">
        <v>16082574</v>
      </c>
      <c r="F3020" s="48" t="s">
        <v>1369</v>
      </c>
      <c r="G3020" s="117" t="s">
        <v>1252</v>
      </c>
      <c r="H3020" s="117"/>
      <c r="I3020" s="40"/>
      <c r="J3020" s="40">
        <v>8</v>
      </c>
      <c r="K3020" s="118">
        <v>2015</v>
      </c>
      <c r="L3020" s="119">
        <v>61.52</v>
      </c>
      <c r="M3020" s="110">
        <f>IF(L3020="",I3020,(MIN(J3020,(L3020*1.6*J3020))))</f>
        <v>8</v>
      </c>
      <c r="N3020" s="111">
        <f>IF(M3020=0,0,(M3020/J3020))</f>
        <v>1</v>
      </c>
    </row>
    <row r="3021" spans="2:14">
      <c r="B3021" s="72">
        <v>127814</v>
      </c>
      <c r="C3021" s="23" t="s">
        <v>2448</v>
      </c>
      <c r="D3021" s="123">
        <f>SUMIF(B$3:B$3844,B3021,M$3:M$3844)/(SUMIF(B$3:B$3844,B3021,J$3:J$3844))</f>
        <v>0.82795063940702129</v>
      </c>
      <c r="E3021" s="47">
        <v>38182</v>
      </c>
      <c r="F3021" s="48" t="s">
        <v>1253</v>
      </c>
      <c r="G3021" s="117" t="s">
        <v>1254</v>
      </c>
      <c r="H3021" s="117"/>
      <c r="I3021" s="40"/>
      <c r="J3021" s="40">
        <v>2110</v>
      </c>
      <c r="K3021" s="118">
        <v>2015</v>
      </c>
      <c r="L3021" s="119">
        <v>61.52</v>
      </c>
      <c r="M3021" s="110">
        <f>IF(L3021="",I3021,(MIN(J3021,(L3021*1.6*J3021))))</f>
        <v>2110</v>
      </c>
      <c r="N3021" s="111">
        <f>IF(M3021=0,0,(M3021/J3021))</f>
        <v>1</v>
      </c>
    </row>
    <row r="3022" spans="2:14">
      <c r="B3022" s="72">
        <v>127814</v>
      </c>
      <c r="C3022" s="23" t="s">
        <v>2448</v>
      </c>
      <c r="D3022" s="109">
        <f>SUMIF(B$3:B$3902,B3022,M$3:M$3902)/(SUMIF(B$3:B$3902,B3022,J$3:J$3902))</f>
        <v>0.82795063940702129</v>
      </c>
      <c r="E3022" s="122">
        <v>213307</v>
      </c>
      <c r="F3022" s="115" t="s">
        <v>2449</v>
      </c>
      <c r="G3022" s="116"/>
      <c r="H3022" s="116"/>
      <c r="I3022" s="40"/>
      <c r="J3022" s="40"/>
      <c r="K3022" s="118"/>
      <c r="L3022" s="119"/>
      <c r="M3022" s="110">
        <f>IF(L3022="",I3022,(MIN(J3022,(L3022*1.6*J3022))))</f>
        <v>0</v>
      </c>
      <c r="N3022" s="111">
        <f>IF(M3022=0,0,(M3022/J3022))</f>
        <v>0</v>
      </c>
    </row>
    <row r="3023" spans="2:14">
      <c r="B3023" s="73">
        <v>127814</v>
      </c>
      <c r="C3023" s="23" t="s">
        <v>2448</v>
      </c>
      <c r="D3023" s="123">
        <f>SUMIF(B$3:B$3844,B3023,M$3:M$3844)/(SUMIF(B$3:B$3844,B3023,J$3:J$3844))</f>
        <v>0.82795063940702129</v>
      </c>
      <c r="E3023" s="47">
        <v>16055562</v>
      </c>
      <c r="F3023" s="48" t="s">
        <v>1370</v>
      </c>
      <c r="G3023" s="117"/>
      <c r="H3023" s="117"/>
      <c r="I3023" s="40"/>
      <c r="J3023" s="40" t="s">
        <v>264</v>
      </c>
      <c r="K3023" s="118"/>
      <c r="L3023" s="119"/>
      <c r="M3023" s="110">
        <f>IF(L3023="",I3023,(MIN(J3023,(L3023*1.6*J3023))))</f>
        <v>0</v>
      </c>
      <c r="N3023" s="111">
        <f>IF(M3023=0,0,(M3023/J3023))</f>
        <v>0</v>
      </c>
    </row>
    <row r="3024" spans="2:14">
      <c r="B3024" s="73">
        <v>127582</v>
      </c>
      <c r="C3024" s="23" t="s">
        <v>2287</v>
      </c>
      <c r="D3024" s="123">
        <f>SUMIF(B$3:B$3844,B3024,M$3:M$3844)/(SUMIF(B$3:B$3844,B3024,J$3:J$3844))</f>
        <v>1</v>
      </c>
      <c r="E3024" s="23">
        <v>34989</v>
      </c>
      <c r="F3024" s="46" t="s">
        <v>2289</v>
      </c>
      <c r="G3024" s="23"/>
      <c r="H3024" s="23"/>
      <c r="I3024" s="41"/>
      <c r="J3024" s="41">
        <v>737</v>
      </c>
      <c r="K3024" s="20">
        <v>2015</v>
      </c>
      <c r="L3024" s="21">
        <v>0.67459999999999998</v>
      </c>
      <c r="M3024" s="110">
        <f>IF(L3024="",I3024,(MIN(J3024,(L3024*1.6*J3024))))</f>
        <v>737</v>
      </c>
      <c r="N3024" s="111">
        <f>IF(M3024=0,0,(M3024/J3024))</f>
        <v>1</v>
      </c>
    </row>
    <row r="3025" spans="2:14">
      <c r="B3025" s="72">
        <v>127582</v>
      </c>
      <c r="C3025" s="47" t="s">
        <v>2287</v>
      </c>
      <c r="D3025" s="123">
        <f>SUMIF(B$3:B$3844,B3025,M$3:M$3844)/(SUMIF(B$3:B$3844,B3025,J$3:J$3844))</f>
        <v>1</v>
      </c>
      <c r="E3025" s="47">
        <v>34955</v>
      </c>
      <c r="F3025" s="48" t="str">
        <f>"C. H. PRICE MIDDLE SCHOOL"</f>
        <v>C. H. PRICE MIDDLE SCHOOL</v>
      </c>
      <c r="G3025" s="47"/>
      <c r="H3025" s="47"/>
      <c r="I3025" s="40"/>
      <c r="J3025" s="40">
        <v>596</v>
      </c>
      <c r="K3025" s="20">
        <v>2015</v>
      </c>
      <c r="L3025" s="21">
        <v>0.67459999999999998</v>
      </c>
      <c r="M3025" s="110">
        <f>IF(L3025="",I3025,(MIN(J3025,(L3025*1.6*J3025))))</f>
        <v>596</v>
      </c>
      <c r="N3025" s="111">
        <f>IF(M3025=0,0,(M3025/J3025))</f>
        <v>1</v>
      </c>
    </row>
    <row r="3026" spans="2:14">
      <c r="B3026" s="73">
        <v>127582</v>
      </c>
      <c r="C3026" s="23" t="s">
        <v>2287</v>
      </c>
      <c r="D3026" s="123">
        <f>SUMIF(B$3:B$3844,B3026,M$3:M$3844)/(SUMIF(B$3:B$3844,B3026,J$3:J$3844))</f>
        <v>1</v>
      </c>
      <c r="E3026" s="23">
        <v>34980</v>
      </c>
      <c r="F3026" s="46" t="s">
        <v>2290</v>
      </c>
      <c r="G3026" s="23"/>
      <c r="H3026" s="23"/>
      <c r="I3026" s="41"/>
      <c r="J3026" s="41">
        <v>332</v>
      </c>
      <c r="K3026" s="20">
        <v>2015</v>
      </c>
      <c r="L3026" s="21">
        <v>0.67459999999999998</v>
      </c>
      <c r="M3026" s="110">
        <f>IF(L3026="",I3026,(MIN(J3026,(L3026*1.6*J3026))))</f>
        <v>332</v>
      </c>
      <c r="N3026" s="111">
        <f>IF(M3026=0,0,(M3026/J3026))</f>
        <v>1</v>
      </c>
    </row>
    <row r="3027" spans="2:14">
      <c r="B3027" s="72">
        <v>127582</v>
      </c>
      <c r="C3027" s="47" t="s">
        <v>2287</v>
      </c>
      <c r="D3027" s="123">
        <f>SUMIF(B$3:B$3844,B3027,M$3:M$3844)/(SUMIF(B$3:B$3844,B3027,J$3:J$3844))</f>
        <v>1</v>
      </c>
      <c r="E3027" s="47">
        <v>34895</v>
      </c>
      <c r="F3027" s="48" t="s">
        <v>2291</v>
      </c>
      <c r="G3027" s="47"/>
      <c r="H3027" s="47"/>
      <c r="I3027" s="40"/>
      <c r="J3027" s="40">
        <v>699</v>
      </c>
      <c r="K3027" s="20">
        <v>2015</v>
      </c>
      <c r="L3027" s="21">
        <v>0.67459999999999998</v>
      </c>
      <c r="M3027" s="110">
        <f>IF(L3027="",I3027,(MIN(J3027,(L3027*1.6*J3027))))</f>
        <v>699</v>
      </c>
      <c r="N3027" s="111">
        <f>IF(M3027=0,0,(M3027/J3027))</f>
        <v>1</v>
      </c>
    </row>
    <row r="3028" spans="2:14">
      <c r="B3028" s="73">
        <v>127582</v>
      </c>
      <c r="C3028" s="23" t="s">
        <v>2287</v>
      </c>
      <c r="D3028" s="123">
        <f>SUMIF(B$3:B$3844,B3028,M$3:M$3844)/(SUMIF(B$3:B$3844,B3028,J$3:J$3844))</f>
        <v>1</v>
      </c>
      <c r="E3028" s="23">
        <v>34983</v>
      </c>
      <c r="F3028" s="46" t="str">
        <f>"ELEANOR H. MILLER SCHOOL"</f>
        <v>ELEANOR H. MILLER SCHOOL</v>
      </c>
      <c r="G3028" s="23"/>
      <c r="H3028" s="23"/>
      <c r="I3028" s="41"/>
      <c r="J3028" s="41">
        <v>126</v>
      </c>
      <c r="K3028" s="20">
        <v>2015</v>
      </c>
      <c r="L3028" s="21">
        <v>0.67459999999999998</v>
      </c>
      <c r="M3028" s="110">
        <f>IF(L3028="",I3028,(MIN(J3028,(L3028*1.6*J3028))))</f>
        <v>126</v>
      </c>
      <c r="N3028" s="111">
        <f>IF(M3028=0,0,(M3028/J3028))</f>
        <v>1</v>
      </c>
    </row>
    <row r="3029" spans="2:14">
      <c r="B3029" s="72">
        <v>127582</v>
      </c>
      <c r="C3029" s="47" t="s">
        <v>2287</v>
      </c>
      <c r="D3029" s="123">
        <f>SUMIF(B$3:B$3844,B3029,M$3:M$3844)/(SUMIF(B$3:B$3844,B3029,J$3:J$3844))</f>
        <v>1</v>
      </c>
      <c r="E3029" s="47">
        <v>34894</v>
      </c>
      <c r="F3029" s="48" t="s">
        <v>2292</v>
      </c>
      <c r="G3029" s="47"/>
      <c r="H3029" s="47"/>
      <c r="I3029" s="40"/>
      <c r="J3029" s="40">
        <v>475</v>
      </c>
      <c r="K3029" s="20">
        <v>2015</v>
      </c>
      <c r="L3029" s="21">
        <v>0.67459999999999998</v>
      </c>
      <c r="M3029" s="110">
        <f>IF(L3029="",I3029,(MIN(J3029,(L3029*1.6*J3029))))</f>
        <v>475</v>
      </c>
      <c r="N3029" s="111">
        <f>IF(M3029=0,0,(M3029/J3029))</f>
        <v>1</v>
      </c>
    </row>
    <row r="3030" spans="2:14">
      <c r="B3030" s="73">
        <v>127582</v>
      </c>
      <c r="C3030" s="23" t="s">
        <v>2287</v>
      </c>
      <c r="D3030" s="123">
        <f>SUMIF(B$3:B$3844,B3030,M$3:M$3844)/(SUMIF(B$3:B$3844,B3030,J$3:J$3844))</f>
        <v>1</v>
      </c>
      <c r="E3030" s="23">
        <v>34953</v>
      </c>
      <c r="F3030" s="46" t="str">
        <f>"INTERLACHEN ELEMENTARY SCHOOL"</f>
        <v>INTERLACHEN ELEMENTARY SCHOOL</v>
      </c>
      <c r="G3030" s="23"/>
      <c r="H3030" s="23"/>
      <c r="I3030" s="41"/>
      <c r="J3030" s="41">
        <v>870</v>
      </c>
      <c r="K3030" s="20">
        <v>2015</v>
      </c>
      <c r="L3030" s="21">
        <v>0.67459999999999998</v>
      </c>
      <c r="M3030" s="110">
        <f>IF(L3030="",I3030,(MIN(J3030,(L3030*1.6*J3030))))</f>
        <v>870</v>
      </c>
      <c r="N3030" s="111">
        <f>IF(M3030=0,0,(M3030/J3030))</f>
        <v>1</v>
      </c>
    </row>
    <row r="3031" spans="2:14">
      <c r="B3031" s="72">
        <v>127582</v>
      </c>
      <c r="C3031" s="47" t="s">
        <v>2287</v>
      </c>
      <c r="D3031" s="123">
        <f>SUMIF(B$3:B$3844,B3031,M$3:M$3844)/(SUMIF(B$3:B$3844,B3031,J$3:J$3844))</f>
        <v>1</v>
      </c>
      <c r="E3031" s="47">
        <v>34954</v>
      </c>
      <c r="F3031" s="48" t="str">
        <f>"INTERLACHEN HIGH SCHOOL"</f>
        <v>INTERLACHEN HIGH SCHOOL</v>
      </c>
      <c r="G3031" s="47"/>
      <c r="H3031" s="47"/>
      <c r="I3031" s="40"/>
      <c r="J3031" s="40">
        <v>741</v>
      </c>
      <c r="K3031" s="20">
        <v>2015</v>
      </c>
      <c r="L3031" s="21">
        <v>0.67459999999999998</v>
      </c>
      <c r="M3031" s="110">
        <f>IF(L3031="",I3031,(MIN(J3031,(L3031*1.6*J3031))))</f>
        <v>741</v>
      </c>
      <c r="N3031" s="111">
        <f>IF(M3031=0,0,(M3031/J3031))</f>
        <v>1</v>
      </c>
    </row>
    <row r="3032" spans="2:14">
      <c r="B3032" s="73">
        <v>127582</v>
      </c>
      <c r="C3032" s="23" t="s">
        <v>2287</v>
      </c>
      <c r="D3032" s="123">
        <f>SUMIF(B$3:B$3844,B3032,M$3:M$3844)/(SUMIF(B$3:B$3844,B3032,J$3:J$3844))</f>
        <v>1</v>
      </c>
      <c r="E3032" s="23">
        <v>34985</v>
      </c>
      <c r="F3032" s="46" t="s">
        <v>2293</v>
      </c>
      <c r="G3032" s="23"/>
      <c r="H3032" s="23"/>
      <c r="I3032" s="41"/>
      <c r="J3032" s="41">
        <v>681</v>
      </c>
      <c r="K3032" s="20">
        <v>2015</v>
      </c>
      <c r="L3032" s="21">
        <v>0.67459999999999998</v>
      </c>
      <c r="M3032" s="110">
        <f>IF(L3032="",I3032,(MIN(J3032,(L3032*1.6*J3032))))</f>
        <v>681</v>
      </c>
      <c r="N3032" s="111">
        <f>IF(M3032=0,0,(M3032/J3032))</f>
        <v>1</v>
      </c>
    </row>
    <row r="3033" spans="2:14">
      <c r="B3033" s="72">
        <v>127582</v>
      </c>
      <c r="C3033" s="47" t="s">
        <v>2287</v>
      </c>
      <c r="D3033" s="123">
        <f>SUMIF(B$3:B$3844,B3033,M$3:M$3844)/(SUMIF(B$3:B$3844,B3033,J$3:J$3844))</f>
        <v>1</v>
      </c>
      <c r="E3033" s="47">
        <v>34984</v>
      </c>
      <c r="F3033" s="48" t="str">
        <f>"KELLEY SMITH ELEMENTARY SCHOOL"</f>
        <v>KELLEY SMITH ELEMENTARY SCHOOL</v>
      </c>
      <c r="G3033" s="47"/>
      <c r="H3033" s="47"/>
      <c r="I3033" s="40"/>
      <c r="J3033" s="40">
        <v>626</v>
      </c>
      <c r="K3033" s="20">
        <v>2015</v>
      </c>
      <c r="L3033" s="21">
        <v>0.67459999999999998</v>
      </c>
      <c r="M3033" s="110">
        <f>IF(L3033="",I3033,(MIN(J3033,(L3033*1.6*J3033))))</f>
        <v>626</v>
      </c>
      <c r="N3033" s="111">
        <f>IF(M3033=0,0,(M3033/J3033))</f>
        <v>1</v>
      </c>
    </row>
    <row r="3034" spans="2:14">
      <c r="B3034" s="73">
        <v>127582</v>
      </c>
      <c r="C3034" s="23" t="s">
        <v>2287</v>
      </c>
      <c r="D3034" s="123">
        <f>SUMIF(B$3:B$3844,B3034,M$3:M$3844)/(SUMIF(B$3:B$3844,B3034,J$3:J$3844))</f>
        <v>1</v>
      </c>
      <c r="E3034" s="23">
        <v>34977</v>
      </c>
      <c r="F3034" s="46" t="str">
        <f>"MELLON ELEMENTARY SCHOOL"</f>
        <v>MELLON ELEMENTARY SCHOOL</v>
      </c>
      <c r="G3034" s="23"/>
      <c r="H3034" s="23"/>
      <c r="I3034" s="41"/>
      <c r="J3034" s="41">
        <v>380</v>
      </c>
      <c r="K3034" s="20">
        <v>2015</v>
      </c>
      <c r="L3034" s="21">
        <v>0.67459999999999998</v>
      </c>
      <c r="M3034" s="110">
        <f>IF(L3034="",I3034,(MIN(J3034,(L3034*1.6*J3034))))</f>
        <v>380</v>
      </c>
      <c r="N3034" s="111">
        <f>IF(M3034=0,0,(M3034/J3034))</f>
        <v>1</v>
      </c>
    </row>
    <row r="3035" spans="2:14">
      <c r="B3035" s="72">
        <v>127582</v>
      </c>
      <c r="C3035" s="47" t="s">
        <v>2287</v>
      </c>
      <c r="D3035" s="123">
        <f>SUMIF(B$3:B$3844,B3035,M$3:M$3844)/(SUMIF(B$3:B$3844,B3035,J$3:J$3844))</f>
        <v>1</v>
      </c>
      <c r="E3035" s="47">
        <v>35762</v>
      </c>
      <c r="F3035" s="48" t="str">
        <f>"MELROSE ELEMENTARY SCHOOL"</f>
        <v>MELROSE ELEMENTARY SCHOOL</v>
      </c>
      <c r="G3035" s="47"/>
      <c r="H3035" s="47"/>
      <c r="I3035" s="40"/>
      <c r="J3035" s="40">
        <v>393</v>
      </c>
      <c r="K3035" s="20">
        <v>2015</v>
      </c>
      <c r="L3035" s="21">
        <v>0.67459999999999998</v>
      </c>
      <c r="M3035" s="110">
        <f>IF(L3035="",I3035,(MIN(J3035,(L3035*1.6*J3035))))</f>
        <v>393</v>
      </c>
      <c r="N3035" s="111">
        <f>IF(M3035=0,0,(M3035/J3035))</f>
        <v>1</v>
      </c>
    </row>
    <row r="3036" spans="2:14">
      <c r="B3036" s="73">
        <v>127582</v>
      </c>
      <c r="C3036" s="23" t="s">
        <v>2287</v>
      </c>
      <c r="D3036" s="123">
        <f>SUMIF(B$3:B$3844,B3036,M$3:M$3844)/(SUMIF(B$3:B$3844,B3036,J$3:J$3844))</f>
        <v>1</v>
      </c>
      <c r="E3036" s="23">
        <v>34892</v>
      </c>
      <c r="F3036" s="46" t="s">
        <v>2294</v>
      </c>
      <c r="G3036" s="23"/>
      <c r="H3036" s="23"/>
      <c r="I3036" s="41"/>
      <c r="J3036" s="41">
        <v>817</v>
      </c>
      <c r="K3036" s="20">
        <v>2015</v>
      </c>
      <c r="L3036" s="21">
        <v>0.67459999999999998</v>
      </c>
      <c r="M3036" s="110">
        <f>IF(L3036="",I3036,(MIN(J3036,(L3036*1.6*J3036))))</f>
        <v>817</v>
      </c>
      <c r="N3036" s="111">
        <f>IF(M3036=0,0,(M3036/J3036))</f>
        <v>1</v>
      </c>
    </row>
    <row r="3037" spans="2:14">
      <c r="B3037" s="72">
        <v>127582</v>
      </c>
      <c r="C3037" s="47" t="s">
        <v>2287</v>
      </c>
      <c r="D3037" s="123">
        <f>SUMIF(B$3:B$3844,B3037,M$3:M$3844)/(SUMIF(B$3:B$3844,B3037,J$3:J$3844))</f>
        <v>1</v>
      </c>
      <c r="E3037" s="47">
        <v>35740</v>
      </c>
      <c r="F3037" s="48" t="str">
        <f>"OCHWILLA ELEMENTARY SCHOOL"</f>
        <v>OCHWILLA ELEMENTARY SCHOOL</v>
      </c>
      <c r="G3037" s="47"/>
      <c r="H3037" s="47"/>
      <c r="I3037" s="40"/>
      <c r="J3037" s="40">
        <v>358</v>
      </c>
      <c r="K3037" s="20">
        <v>2015</v>
      </c>
      <c r="L3037" s="21">
        <v>0.67459999999999998</v>
      </c>
      <c r="M3037" s="110">
        <f>IF(L3037="",I3037,(MIN(J3037,(L3037*1.6*J3037))))</f>
        <v>358</v>
      </c>
      <c r="N3037" s="111">
        <f>IF(M3037=0,0,(M3037/J3037))</f>
        <v>1</v>
      </c>
    </row>
    <row r="3038" spans="2:14">
      <c r="B3038" s="73">
        <v>127582</v>
      </c>
      <c r="C3038" s="23" t="s">
        <v>2287</v>
      </c>
      <c r="D3038" s="123">
        <f>SUMIF(B$3:B$3844,B3038,M$3:M$3844)/(SUMIF(B$3:B$3844,B3038,J$3:J$3844))</f>
        <v>1</v>
      </c>
      <c r="E3038" s="23">
        <v>34978</v>
      </c>
      <c r="F3038" s="46" t="s">
        <v>2295</v>
      </c>
      <c r="G3038" s="23"/>
      <c r="H3038" s="23"/>
      <c r="I3038" s="41"/>
      <c r="J3038" s="41">
        <v>1291</v>
      </c>
      <c r="K3038" s="20">
        <v>2015</v>
      </c>
      <c r="L3038" s="21">
        <v>0.67459999999999998</v>
      </c>
      <c r="M3038" s="110">
        <f>IF(L3038="",I3038,(MIN(J3038,(L3038*1.6*J3038))))</f>
        <v>1291</v>
      </c>
      <c r="N3038" s="111">
        <f>IF(M3038=0,0,(M3038/J3038))</f>
        <v>1</v>
      </c>
    </row>
    <row r="3039" spans="2:14">
      <c r="B3039" s="72">
        <v>127582</v>
      </c>
      <c r="C3039" s="47" t="s">
        <v>2287</v>
      </c>
      <c r="D3039" s="123">
        <f>SUMIF(B$3:B$3844,B3039,M$3:M$3844)/(SUMIF(B$3:B$3844,B3039,J$3:J$3844))</f>
        <v>1</v>
      </c>
      <c r="E3039" s="47">
        <v>16020104</v>
      </c>
      <c r="F3039" s="48" t="s">
        <v>2296</v>
      </c>
      <c r="G3039" s="47"/>
      <c r="H3039" s="47"/>
      <c r="I3039" s="40"/>
      <c r="J3039" s="40">
        <v>444</v>
      </c>
      <c r="K3039" s="20">
        <v>2015</v>
      </c>
      <c r="L3039" s="21">
        <v>0.67459999999999998</v>
      </c>
      <c r="M3039" s="110">
        <f>IF(L3039="",I3039,(MIN(J3039,(L3039*1.6*J3039))))</f>
        <v>444</v>
      </c>
      <c r="N3039" s="111">
        <f>IF(M3039=0,0,(M3039/J3039))</f>
        <v>1</v>
      </c>
    </row>
    <row r="3040" spans="2:14">
      <c r="B3040" s="73">
        <v>127582</v>
      </c>
      <c r="C3040" s="23" t="s">
        <v>2287</v>
      </c>
      <c r="D3040" s="123">
        <f>SUMIF(B$3:B$3844,B3040,M$3:M$3844)/(SUMIF(B$3:B$3844,B3040,J$3:J$3844))</f>
        <v>1</v>
      </c>
      <c r="E3040" s="23">
        <v>34976</v>
      </c>
      <c r="F3040" s="46" t="s">
        <v>2297</v>
      </c>
      <c r="G3040" s="23"/>
      <c r="H3040" s="23"/>
      <c r="I3040" s="41"/>
      <c r="J3040" s="41">
        <v>577</v>
      </c>
      <c r="K3040" s="20">
        <v>2015</v>
      </c>
      <c r="L3040" s="21">
        <v>0.67459999999999998</v>
      </c>
      <c r="M3040" s="110">
        <f>IF(L3040="",I3040,(MIN(J3040,(L3040*1.6*J3040))))</f>
        <v>577</v>
      </c>
      <c r="N3040" s="111">
        <f>IF(M3040=0,0,(M3040/J3040))</f>
        <v>1</v>
      </c>
    </row>
    <row r="3041" spans="2:14">
      <c r="B3041" s="72">
        <v>127582</v>
      </c>
      <c r="C3041" s="47" t="s">
        <v>2287</v>
      </c>
      <c r="D3041" s="123">
        <f>SUMIF(B$3:B$3844,B3041,M$3:M$3844)/(SUMIF(B$3:B$3844,B3041,J$3:J$3844))</f>
        <v>1</v>
      </c>
      <c r="E3041" s="47">
        <v>34979</v>
      </c>
      <c r="F3041" s="48" t="s">
        <v>2298</v>
      </c>
      <c r="G3041" s="47"/>
      <c r="H3041" s="47"/>
      <c r="I3041" s="40"/>
      <c r="J3041" s="40">
        <v>529</v>
      </c>
      <c r="K3041" s="20">
        <v>2015</v>
      </c>
      <c r="L3041" s="21">
        <v>0.67459999999999998</v>
      </c>
      <c r="M3041" s="110">
        <f>IF(L3041="",I3041,(MIN(J3041,(L3041*1.6*J3041))))</f>
        <v>529</v>
      </c>
      <c r="N3041" s="111">
        <f>IF(M3041=0,0,(M3041/J3041))</f>
        <v>1</v>
      </c>
    </row>
    <row r="3042" spans="2:14">
      <c r="B3042" s="73">
        <v>127652</v>
      </c>
      <c r="C3042" s="23" t="s">
        <v>1513</v>
      </c>
      <c r="D3042" s="123">
        <f>SUMIF(B$3:B$3844,B3042,M$3:M$3844)/(SUMIF(B$3:B$3844,B3042,J$3:J$3844))</f>
        <v>0.44508021990351171</v>
      </c>
      <c r="E3042" s="23">
        <v>211295</v>
      </c>
      <c r="F3042" s="46" t="s">
        <v>1514</v>
      </c>
      <c r="G3042" s="23"/>
      <c r="H3042" s="23"/>
      <c r="I3042" s="41">
        <v>395</v>
      </c>
      <c r="J3042" s="41">
        <v>701</v>
      </c>
      <c r="K3042" s="20"/>
      <c r="L3042" s="20"/>
      <c r="M3042" s="110">
        <f>IF(L3042="",I3042,(MIN(J3042,(L3042*1.6*J3042))))</f>
        <v>395</v>
      </c>
      <c r="N3042" s="111">
        <f>IF(M3042=0,0,(M3042/J3042))</f>
        <v>0.56348074179743224</v>
      </c>
    </row>
    <row r="3043" spans="2:14">
      <c r="B3043" s="72">
        <v>127652</v>
      </c>
      <c r="C3043" s="47" t="s">
        <v>1513</v>
      </c>
      <c r="D3043" s="123">
        <f>SUMIF(B$3:B$3844,B3043,M$3:M$3844)/(SUMIF(B$3:B$3844,B3043,J$3:J$3844))</f>
        <v>0.44508021990351171</v>
      </c>
      <c r="E3043" s="47">
        <v>35557</v>
      </c>
      <c r="F3043" s="48" t="s">
        <v>1515</v>
      </c>
      <c r="G3043" s="47"/>
      <c r="H3043" s="47"/>
      <c r="I3043" s="40">
        <v>291</v>
      </c>
      <c r="J3043" s="40">
        <v>405</v>
      </c>
      <c r="K3043" s="20"/>
      <c r="L3043" s="20"/>
      <c r="M3043" s="110">
        <f>IF(L3043="",I3043,(MIN(J3043,(L3043*1.6*J3043))))</f>
        <v>291</v>
      </c>
      <c r="N3043" s="111">
        <f>IF(M3043=0,0,(M3043/J3043))</f>
        <v>0.71851851851851856</v>
      </c>
    </row>
    <row r="3044" spans="2:14">
      <c r="B3044" s="73">
        <v>127652</v>
      </c>
      <c r="C3044" s="23" t="s">
        <v>1513</v>
      </c>
      <c r="D3044" s="123">
        <f>SUMIF(B$3:B$3844,B3044,M$3:M$3844)/(SUMIF(B$3:B$3844,B3044,J$3:J$3844))</f>
        <v>0.44508021990351171</v>
      </c>
      <c r="E3044" s="23">
        <v>16039292</v>
      </c>
      <c r="F3044" s="46" t="s">
        <v>1516</v>
      </c>
      <c r="G3044" s="23"/>
      <c r="H3044" s="23"/>
      <c r="I3044" s="41">
        <v>513</v>
      </c>
      <c r="J3044" s="41">
        <v>822</v>
      </c>
      <c r="K3044" s="20"/>
      <c r="L3044" s="20"/>
      <c r="M3044" s="110">
        <f>IF(L3044="",I3044,(MIN(J3044,(L3044*1.6*J3044))))</f>
        <v>513</v>
      </c>
      <c r="N3044" s="111">
        <f>IF(M3044=0,0,(M3044/J3044))</f>
        <v>0.62408759124087587</v>
      </c>
    </row>
    <row r="3045" spans="2:14">
      <c r="B3045" s="72">
        <v>127652</v>
      </c>
      <c r="C3045" s="47" t="s">
        <v>1513</v>
      </c>
      <c r="D3045" s="123">
        <f>SUMIF(B$3:B$3844,B3045,M$3:M$3844)/(SUMIF(B$3:B$3844,B3045,J$3:J$3844))</f>
        <v>0.44508021990351171</v>
      </c>
      <c r="E3045" s="47">
        <v>17004665</v>
      </c>
      <c r="F3045" s="48" t="s">
        <v>1517</v>
      </c>
      <c r="G3045" s="47"/>
      <c r="H3045" s="47"/>
      <c r="I3045" s="40">
        <v>24</v>
      </c>
      <c r="J3045" s="40">
        <v>40</v>
      </c>
      <c r="K3045" s="20"/>
      <c r="L3045" s="20"/>
      <c r="M3045" s="110">
        <f>IF(L3045="",I3045,(MIN(J3045,(L3045*1.6*J3045))))</f>
        <v>24</v>
      </c>
      <c r="N3045" s="111">
        <f>IF(M3045=0,0,(M3045/J3045))</f>
        <v>0.6</v>
      </c>
    </row>
    <row r="3046" spans="2:14">
      <c r="B3046" s="73">
        <v>127652</v>
      </c>
      <c r="C3046" s="23" t="s">
        <v>1513</v>
      </c>
      <c r="D3046" s="123">
        <f>SUMIF(B$3:B$3844,B3046,M$3:M$3844)/(SUMIF(B$3:B$3844,B3046,J$3:J$3844))</f>
        <v>0.44508021990351171</v>
      </c>
      <c r="E3046" s="23">
        <v>35633</v>
      </c>
      <c r="F3046" s="46" t="s">
        <v>1518</v>
      </c>
      <c r="G3046" s="23"/>
      <c r="H3046" s="23"/>
      <c r="I3046" s="41">
        <v>444</v>
      </c>
      <c r="J3046" s="41">
        <v>816</v>
      </c>
      <c r="K3046" s="20"/>
      <c r="L3046" s="20"/>
      <c r="M3046" s="110">
        <f>IF(L3046="",I3046,(MIN(J3046,(L3046*1.6*J3046))))</f>
        <v>444</v>
      </c>
      <c r="N3046" s="111">
        <f>IF(M3046=0,0,(M3046/J3046))</f>
        <v>0.54411764705882348</v>
      </c>
    </row>
    <row r="3047" spans="2:14">
      <c r="B3047" s="72">
        <v>127652</v>
      </c>
      <c r="C3047" s="47" t="s">
        <v>1513</v>
      </c>
      <c r="D3047" s="123">
        <f>SUMIF(B$3:B$3844,B3047,M$3:M$3844)/(SUMIF(B$3:B$3844,B3047,J$3:J$3844))</f>
        <v>0.44508021990351171</v>
      </c>
      <c r="E3047" s="47">
        <v>16057984</v>
      </c>
      <c r="F3047" s="48" t="s">
        <v>1519</v>
      </c>
      <c r="G3047" s="47"/>
      <c r="H3047" s="47"/>
      <c r="I3047" s="40">
        <v>24</v>
      </c>
      <c r="J3047" s="40">
        <v>28</v>
      </c>
      <c r="K3047" s="20"/>
      <c r="L3047" s="20"/>
      <c r="M3047" s="110">
        <f>IF(L3047="",I3047,(MIN(J3047,(L3047*1.6*J3047))))</f>
        <v>24</v>
      </c>
      <c r="N3047" s="111">
        <f>IF(M3047=0,0,(M3047/J3047))</f>
        <v>0.8571428571428571</v>
      </c>
    </row>
    <row r="3048" spans="2:14">
      <c r="B3048" s="73">
        <v>127652</v>
      </c>
      <c r="C3048" s="75" t="s">
        <v>1513</v>
      </c>
      <c r="D3048" s="133">
        <f>SUMIF(B$3:B$3844,B3048,M$3:M$3844)/(SUMIF(B$3:B$3844,B3048,J$3:J$3844))</f>
        <v>0.44508021990351171</v>
      </c>
      <c r="E3048" s="23">
        <v>35634</v>
      </c>
      <c r="F3048" s="46" t="s">
        <v>1520</v>
      </c>
      <c r="G3048" s="23"/>
      <c r="H3048" s="23"/>
      <c r="I3048" s="41">
        <v>349</v>
      </c>
      <c r="J3048" s="41">
        <v>556</v>
      </c>
      <c r="K3048" s="76"/>
      <c r="L3048" s="76"/>
      <c r="M3048" s="134">
        <f>IF(L3048="",I3048,(MIN(J3048,(L3048*1.6*J3048))))</f>
        <v>349</v>
      </c>
      <c r="N3048" s="127">
        <f>IF(M3048=0,0,(M3048/J3048))</f>
        <v>0.62769784172661869</v>
      </c>
    </row>
    <row r="3049" spans="2:14">
      <c r="B3049" s="72">
        <v>127652</v>
      </c>
      <c r="C3049" s="74" t="s">
        <v>1513</v>
      </c>
      <c r="D3049" s="133">
        <f>SUMIF(B$3:B$3844,B3049,M$3:M$3844)/(SUMIF(B$3:B$3844,B3049,J$3:J$3844))</f>
        <v>0.44508021990351171</v>
      </c>
      <c r="E3049" s="47">
        <v>35614</v>
      </c>
      <c r="F3049" s="48" t="s">
        <v>1521</v>
      </c>
      <c r="G3049" s="47"/>
      <c r="H3049" s="47"/>
      <c r="I3049" s="40">
        <v>167</v>
      </c>
      <c r="J3049" s="40">
        <v>324</v>
      </c>
      <c r="K3049" s="76"/>
      <c r="L3049" s="76"/>
      <c r="M3049" s="134">
        <f>IF(L3049="",I3049,(MIN(J3049,(L3049*1.6*J3049))))</f>
        <v>167</v>
      </c>
      <c r="N3049" s="127">
        <f>IF(M3049=0,0,(M3049/J3049))</f>
        <v>0.51543209876543206</v>
      </c>
    </row>
    <row r="3050" spans="2:14">
      <c r="B3050" s="73">
        <v>127652</v>
      </c>
      <c r="C3050" s="75" t="s">
        <v>1513</v>
      </c>
      <c r="D3050" s="133">
        <f>SUMIF(B$3:B$3844,B3050,M$3:M$3844)/(SUMIF(B$3:B$3844,B3050,J$3:J$3844))</f>
        <v>0.44508021990351171</v>
      </c>
      <c r="E3050" s="23">
        <v>35659</v>
      </c>
      <c r="F3050" s="46" t="s">
        <v>1522</v>
      </c>
      <c r="G3050" s="23"/>
      <c r="H3050" s="23"/>
      <c r="I3050" s="41">
        <v>638</v>
      </c>
      <c r="J3050" s="41">
        <v>745</v>
      </c>
      <c r="K3050" s="76"/>
      <c r="L3050" s="76"/>
      <c r="M3050" s="134">
        <f>IF(L3050="",I3050,(MIN(J3050,(L3050*1.6*J3050))))</f>
        <v>638</v>
      </c>
      <c r="N3050" s="127">
        <f>IF(M3050=0,0,(M3050/J3050))</f>
        <v>0.85637583892617453</v>
      </c>
    </row>
    <row r="3051" spans="2:14">
      <c r="B3051" s="72">
        <v>127652</v>
      </c>
      <c r="C3051" s="74" t="s">
        <v>1513</v>
      </c>
      <c r="D3051" s="133">
        <f>SUMIF(B$3:B$3844,B3051,M$3:M$3844)/(SUMIF(B$3:B$3844,B3051,J$3:J$3844))</f>
        <v>0.44508021990351171</v>
      </c>
      <c r="E3051" s="47">
        <v>35608</v>
      </c>
      <c r="F3051" s="48" t="s">
        <v>1523</v>
      </c>
      <c r="G3051" s="47"/>
      <c r="H3051" s="47"/>
      <c r="I3051" s="40">
        <v>145</v>
      </c>
      <c r="J3051" s="40">
        <v>724</v>
      </c>
      <c r="K3051" s="76"/>
      <c r="L3051" s="76"/>
      <c r="M3051" s="134">
        <f>IF(L3051="",I3051,(MIN(J3051,(L3051*1.6*J3051))))</f>
        <v>145</v>
      </c>
      <c r="N3051" s="127">
        <f>IF(M3051=0,0,(M3051/J3051))</f>
        <v>0.20027624309392264</v>
      </c>
    </row>
    <row r="3052" spans="2:14">
      <c r="B3052" s="73">
        <v>127652</v>
      </c>
      <c r="C3052" s="75" t="s">
        <v>1513</v>
      </c>
      <c r="D3052" s="133">
        <f>SUMIF(B$3:B$3844,B3052,M$3:M$3844)/(SUMIF(B$3:B$3844,B3052,J$3:J$3844))</f>
        <v>0.44508021990351171</v>
      </c>
      <c r="E3052" s="23">
        <v>35606</v>
      </c>
      <c r="F3052" s="46" t="s">
        <v>1524</v>
      </c>
      <c r="G3052" s="23"/>
      <c r="H3052" s="23"/>
      <c r="I3052" s="41">
        <v>351</v>
      </c>
      <c r="J3052" s="41">
        <v>1638</v>
      </c>
      <c r="K3052" s="76"/>
      <c r="L3052" s="76"/>
      <c r="M3052" s="134">
        <f>IF(L3052="",I3052,(MIN(J3052,(L3052*1.6*J3052))))</f>
        <v>351</v>
      </c>
      <c r="N3052" s="127">
        <f>IF(M3052=0,0,(M3052/J3052))</f>
        <v>0.21428571428571427</v>
      </c>
    </row>
    <row r="3053" spans="2:14">
      <c r="B3053" s="72">
        <v>127652</v>
      </c>
      <c r="C3053" s="74" t="s">
        <v>1513</v>
      </c>
      <c r="D3053" s="133">
        <f>SUMIF(B$3:B$3844,B3053,M$3:M$3844)/(SUMIF(B$3:B$3844,B3053,J$3:J$3844))</f>
        <v>0.44508021990351171</v>
      </c>
      <c r="E3053" s="47">
        <v>35607</v>
      </c>
      <c r="F3053" s="48" t="s">
        <v>1525</v>
      </c>
      <c r="G3053" s="47"/>
      <c r="H3053" s="47"/>
      <c r="I3053" s="40">
        <v>212</v>
      </c>
      <c r="J3053" s="40">
        <v>906</v>
      </c>
      <c r="K3053" s="76"/>
      <c r="L3053" s="76"/>
      <c r="M3053" s="134">
        <f>IF(L3053="",I3053,(MIN(J3053,(L3053*1.6*J3053))))</f>
        <v>212</v>
      </c>
      <c r="N3053" s="127">
        <f>IF(M3053=0,0,(M3053/J3053))</f>
        <v>0.23399558498896247</v>
      </c>
    </row>
    <row r="3054" spans="2:14">
      <c r="B3054" s="73">
        <v>127652</v>
      </c>
      <c r="C3054" s="75" t="s">
        <v>1513</v>
      </c>
      <c r="D3054" s="133">
        <f>SUMIF(B$3:B$3844,B3054,M$3:M$3844)/(SUMIF(B$3:B$3844,B3054,J$3:J$3844))</f>
        <v>0.44508021990351171</v>
      </c>
      <c r="E3054" s="23">
        <v>35628</v>
      </c>
      <c r="F3054" s="46" t="s">
        <v>1526</v>
      </c>
      <c r="G3054" s="23"/>
      <c r="H3054" s="23"/>
      <c r="I3054" s="41">
        <v>388</v>
      </c>
      <c r="J3054" s="41">
        <v>680</v>
      </c>
      <c r="K3054" s="76"/>
      <c r="L3054" s="76"/>
      <c r="M3054" s="134">
        <f>IF(L3054="",I3054,(MIN(J3054,(L3054*1.6*J3054))))</f>
        <v>388</v>
      </c>
      <c r="N3054" s="127">
        <f>IF(M3054=0,0,(M3054/J3054))</f>
        <v>0.57058823529411762</v>
      </c>
    </row>
    <row r="3055" spans="2:14">
      <c r="B3055" s="72">
        <v>127652</v>
      </c>
      <c r="C3055" s="74" t="s">
        <v>1513</v>
      </c>
      <c r="D3055" s="133">
        <f>SUMIF(B$3:B$3844,B3055,M$3:M$3844)/(SUMIF(B$3:B$3844,B3055,J$3:J$3844))</f>
        <v>0.44508021990351171</v>
      </c>
      <c r="E3055" s="47">
        <v>35616</v>
      </c>
      <c r="F3055" s="48" t="s">
        <v>1527</v>
      </c>
      <c r="G3055" s="47"/>
      <c r="H3055" s="47"/>
      <c r="I3055" s="40">
        <v>394</v>
      </c>
      <c r="J3055" s="40">
        <v>857</v>
      </c>
      <c r="K3055" s="76"/>
      <c r="L3055" s="76"/>
      <c r="M3055" s="134">
        <f>IF(L3055="",I3055,(MIN(J3055,(L3055*1.6*J3055))))</f>
        <v>394</v>
      </c>
      <c r="N3055" s="127">
        <f>IF(M3055=0,0,(M3055/J3055))</f>
        <v>0.45974329054842472</v>
      </c>
    </row>
    <row r="3056" spans="2:14">
      <c r="B3056" s="73">
        <v>127652</v>
      </c>
      <c r="C3056" s="75" t="s">
        <v>1513</v>
      </c>
      <c r="D3056" s="133">
        <f>SUMIF(B$3:B$3844,B3056,M$3:M$3844)/(SUMIF(B$3:B$3844,B3056,J$3:J$3844))</f>
        <v>0.44508021990351171</v>
      </c>
      <c r="E3056" s="23">
        <v>35617</v>
      </c>
      <c r="F3056" s="46" t="s">
        <v>1528</v>
      </c>
      <c r="G3056" s="23"/>
      <c r="H3056" s="23"/>
      <c r="I3056" s="41">
        <v>329</v>
      </c>
      <c r="J3056" s="41">
        <v>869</v>
      </c>
      <c r="K3056" s="76"/>
      <c r="L3056" s="76"/>
      <c r="M3056" s="134">
        <f>IF(L3056="",I3056,(MIN(J3056,(L3056*1.6*J3056))))</f>
        <v>329</v>
      </c>
      <c r="N3056" s="127">
        <f>IF(M3056=0,0,(M3056/J3056))</f>
        <v>0.37859608745684697</v>
      </c>
    </row>
    <row r="3057" spans="2:14">
      <c r="B3057" s="72">
        <v>127652</v>
      </c>
      <c r="C3057" s="74" t="s">
        <v>1513</v>
      </c>
      <c r="D3057" s="133">
        <f>SUMIF(B$3:B$3844,B3057,M$3:M$3844)/(SUMIF(B$3:B$3844,B3057,J$3:J$3844))</f>
        <v>0.44508021990351171</v>
      </c>
      <c r="E3057" s="47">
        <v>35618</v>
      </c>
      <c r="F3057" s="48" t="s">
        <v>1529</v>
      </c>
      <c r="G3057" s="47"/>
      <c r="H3057" s="47"/>
      <c r="I3057" s="40">
        <v>408</v>
      </c>
      <c r="J3057" s="40">
        <v>879</v>
      </c>
      <c r="K3057" s="76"/>
      <c r="L3057" s="76"/>
      <c r="M3057" s="134">
        <f>IF(L3057="",I3057,(MIN(J3057,(L3057*1.6*J3057))))</f>
        <v>408</v>
      </c>
      <c r="N3057" s="127">
        <f>IF(M3057=0,0,(M3057/J3057))</f>
        <v>0.46416382252559729</v>
      </c>
    </row>
    <row r="3058" spans="2:14">
      <c r="B3058" s="73">
        <v>127652</v>
      </c>
      <c r="C3058" s="75" t="s">
        <v>1513</v>
      </c>
      <c r="D3058" s="133">
        <f>SUMIF(B$3:B$3844,B3058,M$3:M$3844)/(SUMIF(B$3:B$3844,B3058,J$3:J$3844))</f>
        <v>0.44508021990351171</v>
      </c>
      <c r="E3058" s="23">
        <v>35612</v>
      </c>
      <c r="F3058" s="46" t="s">
        <v>1530</v>
      </c>
      <c r="G3058" s="23"/>
      <c r="H3058" s="23"/>
      <c r="I3058" s="41">
        <v>267</v>
      </c>
      <c r="J3058" s="41">
        <v>509</v>
      </c>
      <c r="K3058" s="76"/>
      <c r="L3058" s="76"/>
      <c r="M3058" s="134">
        <f>IF(L3058="",I3058,(MIN(J3058,(L3058*1.6*J3058))))</f>
        <v>267</v>
      </c>
      <c r="N3058" s="127">
        <f>IF(M3058=0,0,(M3058/J3058))</f>
        <v>0.5245579567779961</v>
      </c>
    </row>
    <row r="3059" spans="2:14">
      <c r="B3059" s="72">
        <v>127652</v>
      </c>
      <c r="C3059" s="74" t="s">
        <v>1513</v>
      </c>
      <c r="D3059" s="133">
        <f>SUMIF(B$3:B$3844,B3059,M$3:M$3844)/(SUMIF(B$3:B$3844,B3059,J$3:J$3844))</f>
        <v>0.44508021990351171</v>
      </c>
      <c r="E3059" s="47">
        <v>35613</v>
      </c>
      <c r="F3059" s="48" t="s">
        <v>1531</v>
      </c>
      <c r="G3059" s="47"/>
      <c r="H3059" s="47"/>
      <c r="I3059" s="40">
        <v>148</v>
      </c>
      <c r="J3059" s="40">
        <v>446</v>
      </c>
      <c r="K3059" s="76"/>
      <c r="L3059" s="76"/>
      <c r="M3059" s="134">
        <f>IF(L3059="",I3059,(MIN(J3059,(L3059*1.6*J3059))))</f>
        <v>148</v>
      </c>
      <c r="N3059" s="127">
        <f>IF(M3059=0,0,(M3059/J3059))</f>
        <v>0.33183856502242154</v>
      </c>
    </row>
    <row r="3060" spans="2:14">
      <c r="B3060" s="73">
        <v>127652</v>
      </c>
      <c r="C3060" s="75" t="s">
        <v>1513</v>
      </c>
      <c r="D3060" s="133">
        <f>SUMIF(B$3:B$3844,B3060,M$3:M$3844)/(SUMIF(B$3:B$3844,B3060,J$3:J$3844))</f>
        <v>0.44508021990351171</v>
      </c>
      <c r="E3060" s="23">
        <v>228432</v>
      </c>
      <c r="F3060" s="46" t="s">
        <v>1532</v>
      </c>
      <c r="G3060" s="23"/>
      <c r="H3060" s="23"/>
      <c r="I3060" s="41">
        <v>143</v>
      </c>
      <c r="J3060" s="41">
        <v>180</v>
      </c>
      <c r="K3060" s="76"/>
      <c r="L3060" s="76"/>
      <c r="M3060" s="134">
        <f>IF(L3060="",I3060,(MIN(J3060,(L3060*1.6*J3060))))</f>
        <v>143</v>
      </c>
      <c r="N3060" s="127">
        <f>IF(M3060=0,0,(M3060/J3060))</f>
        <v>0.7944444444444444</v>
      </c>
    </row>
    <row r="3061" spans="2:14">
      <c r="B3061" s="72">
        <v>127652</v>
      </c>
      <c r="C3061" s="74" t="s">
        <v>1513</v>
      </c>
      <c r="D3061" s="133">
        <f>SUMIF(B$3:B$3844,B3061,M$3:M$3844)/(SUMIF(B$3:B$3844,B3061,J$3:J$3844))</f>
        <v>0.44508021990351171</v>
      </c>
      <c r="E3061" s="47">
        <v>35631</v>
      </c>
      <c r="F3061" s="48" t="s">
        <v>1533</v>
      </c>
      <c r="G3061" s="47"/>
      <c r="H3061" s="47"/>
      <c r="I3061" s="40">
        <v>0</v>
      </c>
      <c r="J3061" s="40">
        <v>7</v>
      </c>
      <c r="K3061" s="76"/>
      <c r="L3061" s="76"/>
      <c r="M3061" s="134">
        <f>IF(L3061="",I3061,(MIN(J3061,(L3061*1.6*J3061))))</f>
        <v>0</v>
      </c>
      <c r="N3061" s="127">
        <f>IF(M3061=0,0,(M3061/J3061))</f>
        <v>0</v>
      </c>
    </row>
    <row r="3062" spans="2:14">
      <c r="B3062" s="73">
        <v>127652</v>
      </c>
      <c r="C3062" s="75" t="s">
        <v>1513</v>
      </c>
      <c r="D3062" s="133">
        <f>SUMIF(B$3:B$3844,B3062,M$3:M$3844)/(SUMIF(B$3:B$3844,B3062,J$3:J$3844))</f>
        <v>0.44508021990351171</v>
      </c>
      <c r="E3062" s="23">
        <v>35624</v>
      </c>
      <c r="F3062" s="46" t="s">
        <v>1534</v>
      </c>
      <c r="G3062" s="23"/>
      <c r="H3062" s="23"/>
      <c r="I3062" s="41">
        <v>464</v>
      </c>
      <c r="J3062" s="41">
        <v>614</v>
      </c>
      <c r="K3062" s="76"/>
      <c r="L3062" s="76"/>
      <c r="M3062" s="134">
        <f>IF(L3062="",I3062,(MIN(J3062,(L3062*1.6*J3062))))</f>
        <v>464</v>
      </c>
      <c r="N3062" s="127">
        <f>IF(M3062=0,0,(M3062/J3062))</f>
        <v>0.75570032573289903</v>
      </c>
    </row>
    <row r="3063" spans="2:14">
      <c r="B3063" s="72">
        <v>127652</v>
      </c>
      <c r="C3063" s="74" t="s">
        <v>1513</v>
      </c>
      <c r="D3063" s="133">
        <f>SUMIF(B$3:B$3844,B3063,M$3:M$3844)/(SUMIF(B$3:B$3844,B3063,J$3:J$3844))</f>
        <v>0.44508021990351171</v>
      </c>
      <c r="E3063" s="47">
        <v>35625</v>
      </c>
      <c r="F3063" s="48" t="s">
        <v>1535</v>
      </c>
      <c r="G3063" s="47"/>
      <c r="H3063" s="47"/>
      <c r="I3063" s="40">
        <v>967</v>
      </c>
      <c r="J3063" s="40">
        <v>1776</v>
      </c>
      <c r="K3063" s="76"/>
      <c r="L3063" s="76"/>
      <c r="M3063" s="134">
        <f>IF(L3063="",I3063,(MIN(J3063,(L3063*1.6*J3063))))</f>
        <v>967</v>
      </c>
      <c r="N3063" s="127">
        <f>IF(M3063=0,0,(M3063/J3063))</f>
        <v>0.54448198198198194</v>
      </c>
    </row>
    <row r="3064" spans="2:14">
      <c r="B3064" s="73">
        <v>127652</v>
      </c>
      <c r="C3064" s="75" t="s">
        <v>1513</v>
      </c>
      <c r="D3064" s="133">
        <f>SUMIF(B$3:B$3844,B3064,M$3:M$3844)/(SUMIF(B$3:B$3844,B3064,J$3:J$3844))</f>
        <v>0.44508021990351171</v>
      </c>
      <c r="E3064" s="23">
        <v>35615</v>
      </c>
      <c r="F3064" s="46" t="s">
        <v>1536</v>
      </c>
      <c r="G3064" s="23"/>
      <c r="H3064" s="23"/>
      <c r="I3064" s="41">
        <v>546</v>
      </c>
      <c r="J3064" s="41">
        <v>2075</v>
      </c>
      <c r="K3064" s="76"/>
      <c r="L3064" s="76"/>
      <c r="M3064" s="134">
        <f>IF(L3064="",I3064,(MIN(J3064,(L3064*1.6*J3064))))</f>
        <v>546</v>
      </c>
      <c r="N3064" s="127">
        <f>IF(M3064=0,0,(M3064/J3064))</f>
        <v>0.26313253012048193</v>
      </c>
    </row>
    <row r="3065" spans="2:14">
      <c r="B3065" s="72">
        <v>127652</v>
      </c>
      <c r="C3065" s="74" t="s">
        <v>1513</v>
      </c>
      <c r="D3065" s="133">
        <f>SUMIF(B$3:B$3844,B3065,M$3:M$3844)/(SUMIF(B$3:B$3844,B3065,J$3:J$3844))</f>
        <v>0.44508021990351171</v>
      </c>
      <c r="E3065" s="47">
        <v>35605</v>
      </c>
      <c r="F3065" s="48" t="s">
        <v>1537</v>
      </c>
      <c r="G3065" s="47"/>
      <c r="H3065" s="47"/>
      <c r="I3065" s="40">
        <v>326</v>
      </c>
      <c r="J3065" s="40">
        <v>817</v>
      </c>
      <c r="K3065" s="76"/>
      <c r="L3065" s="76"/>
      <c r="M3065" s="134">
        <f>IF(L3065="",I3065,(MIN(J3065,(L3065*1.6*J3065))))</f>
        <v>326</v>
      </c>
      <c r="N3065" s="127">
        <f>IF(M3065=0,0,(M3065/J3065))</f>
        <v>0.39902080783353733</v>
      </c>
    </row>
    <row r="3066" spans="2:14">
      <c r="B3066" s="73">
        <v>127652</v>
      </c>
      <c r="C3066" s="75" t="s">
        <v>1513</v>
      </c>
      <c r="D3066" s="133">
        <f>SUMIF(B$3:B$3844,B3066,M$3:M$3844)/(SUMIF(B$3:B$3844,B3066,J$3:J$3844))</f>
        <v>0.44508021990351171</v>
      </c>
      <c r="E3066" s="23">
        <v>35640</v>
      </c>
      <c r="F3066" s="46" t="s">
        <v>1538</v>
      </c>
      <c r="G3066" s="23"/>
      <c r="H3066" s="23"/>
      <c r="I3066" s="41">
        <v>641</v>
      </c>
      <c r="J3066" s="41">
        <v>1922</v>
      </c>
      <c r="K3066" s="76"/>
      <c r="L3066" s="76"/>
      <c r="M3066" s="134">
        <f>IF(L3066="",I3066,(MIN(J3066,(L3066*1.6*J3066))))</f>
        <v>641</v>
      </c>
      <c r="N3066" s="127">
        <f>IF(M3066=0,0,(M3066/J3066))</f>
        <v>0.33350676378772115</v>
      </c>
    </row>
    <row r="3067" spans="2:14">
      <c r="B3067" s="72">
        <v>127652</v>
      </c>
      <c r="C3067" s="74" t="s">
        <v>1513</v>
      </c>
      <c r="D3067" s="133">
        <f>SUMIF(B$3:B$3844,B3067,M$3:M$3844)/(SUMIF(B$3:B$3844,B3067,J$3:J$3844))</f>
        <v>0.44508021990351171</v>
      </c>
      <c r="E3067" s="47">
        <v>35638</v>
      </c>
      <c r="F3067" s="48" t="s">
        <v>1539</v>
      </c>
      <c r="G3067" s="47"/>
      <c r="H3067" s="47"/>
      <c r="I3067" s="40">
        <v>404</v>
      </c>
      <c r="J3067" s="40">
        <v>782</v>
      </c>
      <c r="K3067" s="76"/>
      <c r="L3067" s="76"/>
      <c r="M3067" s="134">
        <f>IF(L3067="",I3067,(MIN(J3067,(L3067*1.6*J3067))))</f>
        <v>404</v>
      </c>
      <c r="N3067" s="127">
        <f>IF(M3067=0,0,(M3067/J3067))</f>
        <v>0.51662404092071612</v>
      </c>
    </row>
    <row r="3068" spans="2:14">
      <c r="B3068" s="73">
        <v>127652</v>
      </c>
      <c r="C3068" s="75" t="s">
        <v>1513</v>
      </c>
      <c r="D3068" s="133">
        <f>SUMIF(B$3:B$3844,B3068,M$3:M$3844)/(SUMIF(B$3:B$3844,B3068,J$3:J$3844))</f>
        <v>0.44508021990351171</v>
      </c>
      <c r="E3068" s="23">
        <v>35639</v>
      </c>
      <c r="F3068" s="46" t="s">
        <v>1540</v>
      </c>
      <c r="G3068" s="23"/>
      <c r="H3068" s="23"/>
      <c r="I3068" s="41">
        <v>303</v>
      </c>
      <c r="J3068" s="41">
        <v>782</v>
      </c>
      <c r="K3068" s="76"/>
      <c r="L3068" s="76"/>
      <c r="M3068" s="134">
        <f>IF(L3068="",I3068,(MIN(J3068,(L3068*1.6*J3068))))</f>
        <v>303</v>
      </c>
      <c r="N3068" s="127">
        <f>IF(M3068=0,0,(M3068/J3068))</f>
        <v>0.38746803069053709</v>
      </c>
    </row>
    <row r="3069" spans="2:14">
      <c r="B3069" s="72">
        <v>127652</v>
      </c>
      <c r="C3069" s="74" t="s">
        <v>1513</v>
      </c>
      <c r="D3069" s="133">
        <f>SUMIF(B$3:B$3844,B3069,M$3:M$3844)/(SUMIF(B$3:B$3844,B3069,J$3:J$3844))</f>
        <v>0.44508021990351171</v>
      </c>
      <c r="E3069" s="47">
        <v>35637</v>
      </c>
      <c r="F3069" s="48" t="s">
        <v>1541</v>
      </c>
      <c r="G3069" s="47"/>
      <c r="H3069" s="47"/>
      <c r="I3069" s="40">
        <v>299</v>
      </c>
      <c r="J3069" s="40">
        <v>706</v>
      </c>
      <c r="K3069" s="76"/>
      <c r="L3069" s="76"/>
      <c r="M3069" s="134">
        <f>IF(L3069="",I3069,(MIN(J3069,(L3069*1.6*J3069))))</f>
        <v>299</v>
      </c>
      <c r="N3069" s="127">
        <f>IF(M3069=0,0,(M3069/J3069))</f>
        <v>0.42351274787535409</v>
      </c>
    </row>
    <row r="3070" spans="2:14">
      <c r="B3070" s="73">
        <v>127652</v>
      </c>
      <c r="C3070" s="75" t="s">
        <v>1513</v>
      </c>
      <c r="D3070" s="133">
        <f>SUMIF(B$3:B$3844,B3070,M$3:M$3844)/(SUMIF(B$3:B$3844,B3070,J$3:J$3844))</f>
        <v>0.44508021990351171</v>
      </c>
      <c r="E3070" s="23">
        <v>35632</v>
      </c>
      <c r="F3070" s="46" t="s">
        <v>1542</v>
      </c>
      <c r="G3070" s="23"/>
      <c r="H3070" s="23"/>
      <c r="I3070" s="41">
        <v>93</v>
      </c>
      <c r="J3070" s="41">
        <v>145</v>
      </c>
      <c r="K3070" s="76"/>
      <c r="L3070" s="76"/>
      <c r="M3070" s="134">
        <f>IF(L3070="",I3070,(MIN(J3070,(L3070*1.6*J3070))))</f>
        <v>93</v>
      </c>
      <c r="N3070" s="127">
        <f>IF(M3070=0,0,(M3070/J3070))</f>
        <v>0.64137931034482754</v>
      </c>
    </row>
    <row r="3071" spans="2:14">
      <c r="B3071" s="72">
        <v>127652</v>
      </c>
      <c r="C3071" s="74" t="s">
        <v>1513</v>
      </c>
      <c r="D3071" s="133">
        <f>SUMIF(B$3:B$3844,B3071,M$3:M$3844)/(SUMIF(B$3:B$3844,B3071,J$3:J$3844))</f>
        <v>0.44508021990351171</v>
      </c>
      <c r="E3071" s="47">
        <v>16023203</v>
      </c>
      <c r="F3071" s="48" t="s">
        <v>1543</v>
      </c>
      <c r="G3071" s="47"/>
      <c r="H3071" s="47"/>
      <c r="I3071" s="40"/>
      <c r="J3071" s="40" t="s">
        <v>264</v>
      </c>
      <c r="K3071" s="76"/>
      <c r="L3071" s="76"/>
      <c r="M3071" s="134">
        <f>IF(L3071="",I3071,(MIN(J3071,(L3071*1.6*J3071))))</f>
        <v>0</v>
      </c>
      <c r="N3071" s="127">
        <f>IF(M3071=0,0,(M3071/J3071))</f>
        <v>0</v>
      </c>
    </row>
    <row r="3072" spans="2:14" ht="30">
      <c r="B3072" s="73">
        <v>127652</v>
      </c>
      <c r="C3072" s="75" t="s">
        <v>1513</v>
      </c>
      <c r="D3072" s="133">
        <f>SUMIF(B$3:B$3844,B3072,M$3:M$3844)/(SUMIF(B$3:B$3844,B3072,J$3:J$3844))</f>
        <v>0.44508021990351171</v>
      </c>
      <c r="E3072" s="23">
        <v>16082592</v>
      </c>
      <c r="F3072" s="46" t="s">
        <v>1544</v>
      </c>
      <c r="G3072" s="23"/>
      <c r="H3072" s="23"/>
      <c r="I3072" s="41">
        <v>2</v>
      </c>
      <c r="J3072" s="41">
        <v>31</v>
      </c>
      <c r="K3072" s="76"/>
      <c r="L3072" s="76"/>
      <c r="M3072" s="134">
        <f>IF(L3072="",I3072,(MIN(J3072,(L3072*1.6*J3072))))</f>
        <v>2</v>
      </c>
      <c r="N3072" s="127">
        <f>IF(M3072=0,0,(M3072/J3072))</f>
        <v>6.4516129032258063E-2</v>
      </c>
    </row>
    <row r="3073" spans="2:14">
      <c r="B3073" s="72">
        <v>127652</v>
      </c>
      <c r="C3073" s="74" t="s">
        <v>1513</v>
      </c>
      <c r="D3073" s="133">
        <f>SUMIF(B$3:B$3844,B3073,M$3:M$3844)/(SUMIF(B$3:B$3844,B3073,J$3:J$3844))</f>
        <v>0.44508021990351171</v>
      </c>
      <c r="E3073" s="47">
        <v>16082593</v>
      </c>
      <c r="F3073" s="48" t="s">
        <v>1545</v>
      </c>
      <c r="G3073" s="47"/>
      <c r="H3073" s="47"/>
      <c r="I3073" s="40">
        <v>8</v>
      </c>
      <c r="J3073" s="40">
        <v>83</v>
      </c>
      <c r="K3073" s="76"/>
      <c r="L3073" s="76"/>
      <c r="M3073" s="134">
        <f>IF(L3073="",I3073,(MIN(J3073,(L3073*1.6*J3073))))</f>
        <v>8</v>
      </c>
      <c r="N3073" s="127">
        <f>IF(M3073=0,0,(M3073/J3073))</f>
        <v>9.6385542168674704E-2</v>
      </c>
    </row>
    <row r="3074" spans="2:14" ht="30">
      <c r="B3074" s="73">
        <v>127652</v>
      </c>
      <c r="C3074" s="75" t="s">
        <v>1513</v>
      </c>
      <c r="D3074" s="133">
        <f>SUMIF(B$3:B$3844,B3074,M$3:M$3844)/(SUMIF(B$3:B$3844,B3074,J$3:J$3844))</f>
        <v>0.44508021990351171</v>
      </c>
      <c r="E3074" s="23">
        <v>16082672</v>
      </c>
      <c r="F3074" s="46" t="s">
        <v>1546</v>
      </c>
      <c r="G3074" s="23"/>
      <c r="H3074" s="23"/>
      <c r="I3074" s="41"/>
      <c r="J3074" s="41">
        <v>0</v>
      </c>
      <c r="K3074" s="76"/>
      <c r="L3074" s="76"/>
      <c r="M3074" s="134">
        <f>IF(L3074="",I3074,(MIN(J3074,(L3074*1.6*J3074))))</f>
        <v>0</v>
      </c>
      <c r="N3074" s="127">
        <f>IF(M3074=0,0,(M3074/J3074))</f>
        <v>0</v>
      </c>
    </row>
    <row r="3075" spans="2:14">
      <c r="B3075" s="72">
        <v>127652</v>
      </c>
      <c r="C3075" s="74" t="s">
        <v>1513</v>
      </c>
      <c r="D3075" s="133">
        <f>SUMIF(B$3:B$3844,B3075,M$3:M$3844)/(SUMIF(B$3:B$3844,B3075,J$3:J$3844))</f>
        <v>0.44508021990351171</v>
      </c>
      <c r="E3075" s="47">
        <v>35630</v>
      </c>
      <c r="F3075" s="48" t="s">
        <v>1547</v>
      </c>
      <c r="G3075" s="47"/>
      <c r="H3075" s="47"/>
      <c r="I3075" s="40">
        <v>190</v>
      </c>
      <c r="J3075" s="40">
        <v>197</v>
      </c>
      <c r="K3075" s="76"/>
      <c r="L3075" s="76"/>
      <c r="M3075" s="134">
        <f>IF(L3075="",I3075,(MIN(J3075,(L3075*1.6*J3075))))</f>
        <v>190</v>
      </c>
      <c r="N3075" s="127">
        <f>IF(M3075=0,0,(M3075/J3075))</f>
        <v>0.96446700507614214</v>
      </c>
    </row>
    <row r="3076" spans="2:14">
      <c r="B3076" s="73">
        <v>127652</v>
      </c>
      <c r="C3076" s="75" t="s">
        <v>1513</v>
      </c>
      <c r="D3076" s="133">
        <f>SUMIF(B$3:B$3844,B3076,M$3:M$3844)/(SUMIF(B$3:B$3844,B3076,J$3:J$3844))</f>
        <v>0.44508021990351171</v>
      </c>
      <c r="E3076" s="23">
        <v>205778</v>
      </c>
      <c r="F3076" s="46" t="s">
        <v>1548</v>
      </c>
      <c r="G3076" s="23"/>
      <c r="H3076" s="23"/>
      <c r="I3076" s="41">
        <v>289</v>
      </c>
      <c r="J3076" s="41">
        <v>932</v>
      </c>
      <c r="K3076" s="76"/>
      <c r="L3076" s="76"/>
      <c r="M3076" s="134">
        <f>IF(L3076="",I3076,(MIN(J3076,(L3076*1.6*J3076))))</f>
        <v>289</v>
      </c>
      <c r="N3076" s="127">
        <f>IF(M3076=0,0,(M3076/J3076))</f>
        <v>0.31008583690987124</v>
      </c>
    </row>
    <row r="3077" spans="2:14">
      <c r="B3077" s="72">
        <v>127652</v>
      </c>
      <c r="C3077" s="74" t="s">
        <v>1513</v>
      </c>
      <c r="D3077" s="133">
        <f>SUMIF(B$3:B$3844,B3077,M$3:M$3844)/(SUMIF(B$3:B$3844,B3077,J$3:J$3844))</f>
        <v>0.44508021990351171</v>
      </c>
      <c r="E3077" s="47">
        <v>35626</v>
      </c>
      <c r="F3077" s="48" t="s">
        <v>1549</v>
      </c>
      <c r="G3077" s="47"/>
      <c r="H3077" s="47"/>
      <c r="I3077" s="40">
        <v>699</v>
      </c>
      <c r="J3077" s="40">
        <v>870</v>
      </c>
      <c r="K3077" s="76"/>
      <c r="L3077" s="76"/>
      <c r="M3077" s="134">
        <f>IF(L3077="",I3077,(MIN(J3077,(L3077*1.6*J3077))))</f>
        <v>699</v>
      </c>
      <c r="N3077" s="127">
        <f>IF(M3077=0,0,(M3077/J3077))</f>
        <v>0.80344827586206902</v>
      </c>
    </row>
    <row r="3078" spans="2:14">
      <c r="B3078" s="73">
        <v>127652</v>
      </c>
      <c r="C3078" s="75" t="s">
        <v>1513</v>
      </c>
      <c r="D3078" s="133">
        <f>SUMIF(B$3:B$3844,B3078,M$3:M$3844)/(SUMIF(B$3:B$3844,B3078,J$3:J$3844))</f>
        <v>0.44508021990351171</v>
      </c>
      <c r="E3078" s="23">
        <v>211299</v>
      </c>
      <c r="F3078" s="46" t="s">
        <v>1550</v>
      </c>
      <c r="G3078" s="23"/>
      <c r="H3078" s="23"/>
      <c r="I3078" s="41">
        <v>377</v>
      </c>
      <c r="J3078" s="41">
        <v>983</v>
      </c>
      <c r="K3078" s="76"/>
      <c r="L3078" s="76"/>
      <c r="M3078" s="134">
        <f>IF(L3078="",I3078,(MIN(J3078,(L3078*1.6*J3078))))</f>
        <v>377</v>
      </c>
      <c r="N3078" s="127">
        <f>IF(M3078=0,0,(M3078/J3078))</f>
        <v>0.38351983723296035</v>
      </c>
    </row>
    <row r="3079" spans="2:14">
      <c r="B3079" s="72">
        <v>127652</v>
      </c>
      <c r="C3079" s="74" t="s">
        <v>1513</v>
      </c>
      <c r="D3079" s="133">
        <f>SUMIF(B$3:B$3844,B3079,M$3:M$3844)/(SUMIF(B$3:B$3844,B3079,J$3:J$3844))</f>
        <v>0.44508021990351171</v>
      </c>
      <c r="E3079" s="47">
        <v>228430</v>
      </c>
      <c r="F3079" s="48" t="s">
        <v>1551</v>
      </c>
      <c r="G3079" s="47"/>
      <c r="H3079" s="47"/>
      <c r="I3079" s="40">
        <v>319</v>
      </c>
      <c r="J3079" s="40">
        <v>828</v>
      </c>
      <c r="K3079" s="76"/>
      <c r="L3079" s="76"/>
      <c r="M3079" s="134">
        <f>IF(L3079="",I3079,(MIN(J3079,(L3079*1.6*J3079))))</f>
        <v>319</v>
      </c>
      <c r="N3079" s="127">
        <f>IF(M3079=0,0,(M3079/J3079))</f>
        <v>0.38526570048309178</v>
      </c>
    </row>
    <row r="3080" spans="2:14">
      <c r="B3080" s="73">
        <v>127652</v>
      </c>
      <c r="C3080" s="75" t="s">
        <v>1513</v>
      </c>
      <c r="D3080" s="133">
        <f>SUMIF(B$3:B$3844,B3080,M$3:M$3844)/(SUMIF(B$3:B$3844,B3080,J$3:J$3844))</f>
        <v>0.44508021990351171</v>
      </c>
      <c r="E3080" s="23">
        <v>211300</v>
      </c>
      <c r="F3080" s="46" t="s">
        <v>1552</v>
      </c>
      <c r="G3080" s="23"/>
      <c r="H3080" s="23"/>
      <c r="I3080" s="41">
        <v>344</v>
      </c>
      <c r="J3080" s="41">
        <v>1064</v>
      </c>
      <c r="K3080" s="76"/>
      <c r="L3080" s="76"/>
      <c r="M3080" s="134">
        <f>IF(L3080="",I3080,(MIN(J3080,(L3080*1.6*J3080))))</f>
        <v>344</v>
      </c>
      <c r="N3080" s="127">
        <f>IF(M3080=0,0,(M3080/J3080))</f>
        <v>0.32330827067669171</v>
      </c>
    </row>
    <row r="3081" spans="2:14">
      <c r="B3081" s="72">
        <v>127652</v>
      </c>
      <c r="C3081" s="74" t="s">
        <v>1513</v>
      </c>
      <c r="D3081" s="133">
        <f>SUMIF(B$3:B$3844,B3081,M$3:M$3844)/(SUMIF(B$3:B$3844,B3081,J$3:J$3844))</f>
        <v>0.44508021990351171</v>
      </c>
      <c r="E3081" s="47">
        <v>16023201</v>
      </c>
      <c r="F3081" s="48" t="s">
        <v>1553</v>
      </c>
      <c r="G3081" s="47"/>
      <c r="H3081" s="47"/>
      <c r="I3081" s="40"/>
      <c r="J3081" s="40"/>
      <c r="K3081" s="76"/>
      <c r="L3081" s="76"/>
      <c r="M3081" s="134">
        <f>IF(L3081="",I3081,(MIN(J3081,(L3081*1.6*J3081))))</f>
        <v>0</v>
      </c>
      <c r="N3081" s="127">
        <f>IF(M3081=0,0,(M3081/J3081))</f>
        <v>0</v>
      </c>
    </row>
    <row r="3082" spans="2:14">
      <c r="B3082" s="73">
        <v>127854</v>
      </c>
      <c r="C3082" s="75" t="s">
        <v>2312</v>
      </c>
      <c r="D3082" s="133">
        <f>SUMIF(B$3:B$3844,B3082,M$3:M$3844)/(SUMIF(B$3:B$3844,B3082,J$3:J$3844))</f>
        <v>0.49315412286327764</v>
      </c>
      <c r="E3082" s="23">
        <v>38484</v>
      </c>
      <c r="F3082" s="46" t="s">
        <v>1258</v>
      </c>
      <c r="G3082" s="23"/>
      <c r="H3082" s="23"/>
      <c r="I3082" s="41">
        <v>611</v>
      </c>
      <c r="J3082" s="41">
        <v>680</v>
      </c>
      <c r="K3082" s="76"/>
      <c r="L3082" s="80"/>
      <c r="M3082" s="134">
        <f>IF(L3082="",I3082,(MIN(J3082,(L3082*1.6*J3082))))</f>
        <v>611</v>
      </c>
      <c r="N3082" s="127">
        <f>IF(M3082=0,0,(M3082/J3082))</f>
        <v>0.89852941176470591</v>
      </c>
    </row>
    <row r="3083" spans="2:14">
      <c r="B3083" s="72">
        <v>127854</v>
      </c>
      <c r="C3083" s="74" t="s">
        <v>2312</v>
      </c>
      <c r="D3083" s="133">
        <f>SUMIF(B$3:B$3844,B3083,M$3:M$3844)/(SUMIF(B$3:B$3844,B3083,J$3:J$3844))</f>
        <v>0.49315412286327764</v>
      </c>
      <c r="E3083" s="47">
        <v>38471</v>
      </c>
      <c r="F3083" s="48" t="s">
        <v>2316</v>
      </c>
      <c r="G3083" s="47"/>
      <c r="H3083" s="47"/>
      <c r="I3083" s="40">
        <v>270</v>
      </c>
      <c r="J3083" s="40">
        <v>922</v>
      </c>
      <c r="K3083" s="76"/>
      <c r="L3083" s="80"/>
      <c r="M3083" s="134">
        <f>IF(L3083="",I3083,(MIN(J3083,(L3083*1.6*J3083))))</f>
        <v>270</v>
      </c>
      <c r="N3083" s="127">
        <f>IF(M3083=0,0,(M3083/J3083))</f>
        <v>0.29284164859002171</v>
      </c>
    </row>
    <row r="3084" spans="2:14">
      <c r="B3084" s="73">
        <v>127854</v>
      </c>
      <c r="C3084" s="75" t="s">
        <v>2312</v>
      </c>
      <c r="D3084" s="133">
        <f>SUMIF(B$3:B$3844,B3084,M$3:M$3844)/(SUMIF(B$3:B$3844,B3084,J$3:J$3844))</f>
        <v>0.49315412286327764</v>
      </c>
      <c r="E3084" s="23">
        <v>16053711</v>
      </c>
      <c r="F3084" s="46" t="s">
        <v>2317</v>
      </c>
      <c r="G3084" s="23"/>
      <c r="H3084" s="23"/>
      <c r="I3084" s="41">
        <v>448</v>
      </c>
      <c r="J3084" s="41">
        <v>712</v>
      </c>
      <c r="K3084" s="76"/>
      <c r="L3084" s="80"/>
      <c r="M3084" s="134">
        <f>IF(L3084="",I3084,(MIN(J3084,(L3084*1.6*J3084))))</f>
        <v>448</v>
      </c>
      <c r="N3084" s="127">
        <f>IF(M3084=0,0,(M3084/J3084))</f>
        <v>0.6292134831460674</v>
      </c>
    </row>
    <row r="3085" spans="2:14">
      <c r="B3085" s="72">
        <v>127854</v>
      </c>
      <c r="C3085" s="74" t="s">
        <v>2312</v>
      </c>
      <c r="D3085" s="133">
        <f>SUMIF(B$3:B$3844,B3085,M$3:M$3844)/(SUMIF(B$3:B$3844,B3085,J$3:J$3844))</f>
        <v>0.49315412286327764</v>
      </c>
      <c r="E3085" s="47">
        <v>38474</v>
      </c>
      <c r="F3085" s="48" t="s">
        <v>2318</v>
      </c>
      <c r="G3085" s="47"/>
      <c r="H3085" s="47"/>
      <c r="I3085" s="40">
        <v>286</v>
      </c>
      <c r="J3085" s="40">
        <v>602</v>
      </c>
      <c r="K3085" s="76"/>
      <c r="L3085" s="80"/>
      <c r="M3085" s="134">
        <f>IF(L3085="",I3085,(MIN(J3085,(L3085*1.6*J3085))))</f>
        <v>286</v>
      </c>
      <c r="N3085" s="127">
        <f>IF(M3085=0,0,(M3085/J3085))</f>
        <v>0.47508305647840532</v>
      </c>
    </row>
    <row r="3086" spans="2:14">
      <c r="B3086" s="73">
        <v>127854</v>
      </c>
      <c r="C3086" s="75" t="s">
        <v>2312</v>
      </c>
      <c r="D3086" s="133">
        <f>SUMIF(B$3:B$3844,B3086,M$3:M$3844)/(SUMIF(B$3:B$3844,B3086,J$3:J$3844))</f>
        <v>0.49315412286327764</v>
      </c>
      <c r="E3086" s="23">
        <v>38472</v>
      </c>
      <c r="F3086" s="46" t="s">
        <v>2319</v>
      </c>
      <c r="G3086" s="23"/>
      <c r="H3086" s="23"/>
      <c r="I3086" s="41">
        <v>736</v>
      </c>
      <c r="J3086" s="41">
        <v>1168</v>
      </c>
      <c r="K3086" s="76"/>
      <c r="L3086" s="80"/>
      <c r="M3086" s="134">
        <f>IF(L3086="",I3086,(MIN(J3086,(L3086*1.6*J3086))))</f>
        <v>736</v>
      </c>
      <c r="N3086" s="127">
        <f>IF(M3086=0,0,(M3086/J3086))</f>
        <v>0.63013698630136983</v>
      </c>
    </row>
    <row r="3087" spans="2:14">
      <c r="B3087" s="72">
        <v>127854</v>
      </c>
      <c r="C3087" s="74" t="s">
        <v>2312</v>
      </c>
      <c r="D3087" s="133">
        <f>SUMIF(B$3:B$3844,B3087,M$3:M$3844)/(SUMIF(B$3:B$3844,B3087,J$3:J$3844))</f>
        <v>0.49315412286327764</v>
      </c>
      <c r="E3087" s="47">
        <v>38473</v>
      </c>
      <c r="F3087" s="48" t="s">
        <v>2320</v>
      </c>
      <c r="G3087" s="47"/>
      <c r="H3087" s="47"/>
      <c r="I3087" s="40">
        <v>580</v>
      </c>
      <c r="J3087" s="40">
        <v>780</v>
      </c>
      <c r="K3087" s="76"/>
      <c r="L3087" s="80"/>
      <c r="M3087" s="134">
        <f>IF(L3087="",I3087,(MIN(J3087,(L3087*1.6*J3087))))</f>
        <v>580</v>
      </c>
      <c r="N3087" s="127">
        <f>IF(M3087=0,0,(M3087/J3087))</f>
        <v>0.74358974358974361</v>
      </c>
    </row>
    <row r="3088" spans="2:14">
      <c r="B3088" s="73">
        <v>127854</v>
      </c>
      <c r="C3088" s="75" t="s">
        <v>2312</v>
      </c>
      <c r="D3088" s="133">
        <f>SUMIF(B$3:B$3844,B3088,M$3:M$3844)/(SUMIF(B$3:B$3844,B3088,J$3:J$3844))</f>
        <v>0.49315412286327764</v>
      </c>
      <c r="E3088" s="23">
        <v>38463</v>
      </c>
      <c r="F3088" s="46" t="s">
        <v>297</v>
      </c>
      <c r="G3088" s="23"/>
      <c r="H3088" s="23"/>
      <c r="I3088" s="41">
        <v>489</v>
      </c>
      <c r="J3088" s="41">
        <v>720</v>
      </c>
      <c r="K3088" s="76"/>
      <c r="L3088" s="80"/>
      <c r="M3088" s="134">
        <f>IF(L3088="",I3088,(MIN(J3088,(L3088*1.6*J3088))))</f>
        <v>489</v>
      </c>
      <c r="N3088" s="127">
        <f>IF(M3088=0,0,(M3088/J3088))</f>
        <v>0.6791666666666667</v>
      </c>
    </row>
    <row r="3089" spans="2:14">
      <c r="B3089" s="72">
        <v>127854</v>
      </c>
      <c r="C3089" s="74" t="s">
        <v>2312</v>
      </c>
      <c r="D3089" s="133">
        <f>SUMIF(B$3:B$3844,B3089,M$3:M$3844)/(SUMIF(B$3:B$3844,B3089,J$3:J$3844))</f>
        <v>0.49315412286327764</v>
      </c>
      <c r="E3089" s="47">
        <v>38487</v>
      </c>
      <c r="F3089" s="48" t="s">
        <v>2321</v>
      </c>
      <c r="G3089" s="47"/>
      <c r="H3089" s="47"/>
      <c r="I3089" s="40">
        <v>512</v>
      </c>
      <c r="J3089" s="40">
        <v>833</v>
      </c>
      <c r="K3089" s="76"/>
      <c r="L3089" s="80"/>
      <c r="M3089" s="134">
        <f>IF(L3089="",I3089,(MIN(J3089,(L3089*1.6*J3089))))</f>
        <v>512</v>
      </c>
      <c r="N3089" s="127">
        <f>IF(M3089=0,0,(M3089/J3089))</f>
        <v>0.61464585834333729</v>
      </c>
    </row>
    <row r="3090" spans="2:14">
      <c r="B3090" s="73">
        <v>127854</v>
      </c>
      <c r="C3090" s="75" t="s">
        <v>2312</v>
      </c>
      <c r="D3090" s="133">
        <f>SUMIF(B$3:B$3844,B3090,M$3:M$3844)/(SUMIF(B$3:B$3844,B3090,J$3:J$3844))</f>
        <v>0.49315412286327764</v>
      </c>
      <c r="E3090" s="23">
        <v>16021604</v>
      </c>
      <c r="F3090" s="46" t="s">
        <v>2322</v>
      </c>
      <c r="G3090" s="23"/>
      <c r="H3090" s="23"/>
      <c r="I3090" s="41">
        <v>491</v>
      </c>
      <c r="J3090" s="41">
        <v>772</v>
      </c>
      <c r="K3090" s="76"/>
      <c r="L3090" s="80"/>
      <c r="M3090" s="134">
        <f>IF(L3090="",I3090,(MIN(J3090,(L3090*1.6*J3090))))</f>
        <v>491</v>
      </c>
      <c r="N3090" s="127">
        <f>IF(M3090=0,0,(M3090/J3090))</f>
        <v>0.63601036269430056</v>
      </c>
    </row>
    <row r="3091" spans="2:14">
      <c r="B3091" s="72">
        <v>127854</v>
      </c>
      <c r="C3091" s="74" t="s">
        <v>2312</v>
      </c>
      <c r="D3091" s="133">
        <f>SUMIF(B$3:B$3844,B3091,M$3:M$3844)/(SUMIF(B$3:B$3844,B3091,J$3:J$3844))</f>
        <v>0.49315412286327764</v>
      </c>
      <c r="E3091" s="47">
        <v>38475</v>
      </c>
      <c r="F3091" s="48" t="s">
        <v>2323</v>
      </c>
      <c r="G3091" s="47"/>
      <c r="H3091" s="47"/>
      <c r="I3091" s="40">
        <v>495</v>
      </c>
      <c r="J3091" s="40">
        <v>553</v>
      </c>
      <c r="K3091" s="76"/>
      <c r="L3091" s="80"/>
      <c r="M3091" s="134">
        <f>IF(L3091="",I3091,(MIN(J3091,(L3091*1.6*J3091))))</f>
        <v>495</v>
      </c>
      <c r="N3091" s="127">
        <f>IF(M3091=0,0,(M3091/J3091))</f>
        <v>0.89511754068716098</v>
      </c>
    </row>
    <row r="3092" spans="2:14">
      <c r="B3092" s="73">
        <v>127854</v>
      </c>
      <c r="C3092" s="75" t="s">
        <v>2312</v>
      </c>
      <c r="D3092" s="133">
        <f>SUMIF(B$3:B$3844,B3092,M$3:M$3844)/(SUMIF(B$3:B$3844,B3092,J$3:J$3844))</f>
        <v>0.49315412286327764</v>
      </c>
      <c r="E3092" s="23">
        <v>38445</v>
      </c>
      <c r="F3092" s="46" t="s">
        <v>655</v>
      </c>
      <c r="G3092" s="23"/>
      <c r="H3092" s="23"/>
      <c r="I3092" s="41">
        <v>291</v>
      </c>
      <c r="J3092" s="41">
        <v>541</v>
      </c>
      <c r="K3092" s="76"/>
      <c r="L3092" s="80"/>
      <c r="M3092" s="134">
        <f>IF(L3092="",I3092,(MIN(J3092,(L3092*1.6*J3092))))</f>
        <v>291</v>
      </c>
      <c r="N3092" s="127">
        <f>IF(M3092=0,0,(M3092/J3092))</f>
        <v>0.53789279112754163</v>
      </c>
    </row>
    <row r="3093" spans="2:14">
      <c r="B3093" s="72">
        <v>127854</v>
      </c>
      <c r="C3093" s="74" t="s">
        <v>2312</v>
      </c>
      <c r="D3093" s="133">
        <f>SUMIF(B$3:B$3844,B3093,M$3:M$3844)/(SUMIF(B$3:B$3844,B3093,J$3:J$3844))</f>
        <v>0.49315412286327764</v>
      </c>
      <c r="E3093" s="47">
        <v>38459</v>
      </c>
      <c r="F3093" s="48" t="s">
        <v>2324</v>
      </c>
      <c r="G3093" s="47"/>
      <c r="H3093" s="47"/>
      <c r="I3093" s="40">
        <v>427</v>
      </c>
      <c r="J3093" s="40">
        <v>748</v>
      </c>
      <c r="K3093" s="76"/>
      <c r="L3093" s="80"/>
      <c r="M3093" s="134">
        <f>IF(L3093="",I3093,(MIN(J3093,(L3093*1.6*J3093))))</f>
        <v>427</v>
      </c>
      <c r="N3093" s="127">
        <f>IF(M3093=0,0,(M3093/J3093))</f>
        <v>0.57085561497326198</v>
      </c>
    </row>
    <row r="3094" spans="2:14">
      <c r="B3094" s="73">
        <v>127854</v>
      </c>
      <c r="C3094" s="75" t="s">
        <v>2312</v>
      </c>
      <c r="D3094" s="133">
        <f>SUMIF(B$3:B$3844,B3094,M$3:M$3844)/(SUMIF(B$3:B$3844,B3094,J$3:J$3844))</f>
        <v>0.49315412286327764</v>
      </c>
      <c r="E3094" s="23">
        <v>38514</v>
      </c>
      <c r="F3094" s="46" t="s">
        <v>2325</v>
      </c>
      <c r="G3094" s="23"/>
      <c r="H3094" s="23"/>
      <c r="I3094" s="41">
        <v>323</v>
      </c>
      <c r="J3094" s="41">
        <v>597</v>
      </c>
      <c r="K3094" s="76"/>
      <c r="L3094" s="80"/>
      <c r="M3094" s="134">
        <f>IF(L3094="",I3094,(MIN(J3094,(L3094*1.6*J3094))))</f>
        <v>323</v>
      </c>
      <c r="N3094" s="127">
        <f>IF(M3094=0,0,(M3094/J3094))</f>
        <v>0.54103852596314905</v>
      </c>
    </row>
    <row r="3095" spans="2:14">
      <c r="B3095" s="72">
        <v>127854</v>
      </c>
      <c r="C3095" s="74" t="s">
        <v>2312</v>
      </c>
      <c r="D3095" s="133">
        <f>SUMIF(B$3:B$3844,B3095,M$3:M$3844)/(SUMIF(B$3:B$3844,B3095,J$3:J$3844))</f>
        <v>0.49315412286327764</v>
      </c>
      <c r="E3095" s="47">
        <v>38513</v>
      </c>
      <c r="F3095" s="48" t="s">
        <v>2326</v>
      </c>
      <c r="G3095" s="47"/>
      <c r="H3095" s="47"/>
      <c r="I3095" s="40">
        <v>531</v>
      </c>
      <c r="J3095" s="40">
        <v>699</v>
      </c>
      <c r="K3095" s="76"/>
      <c r="L3095" s="80"/>
      <c r="M3095" s="134">
        <f>IF(L3095="",I3095,(MIN(J3095,(L3095*1.6*J3095))))</f>
        <v>531</v>
      </c>
      <c r="N3095" s="127">
        <f>IF(M3095=0,0,(M3095/J3095))</f>
        <v>0.75965665236051505</v>
      </c>
    </row>
    <row r="3096" spans="2:14">
      <c r="B3096" s="73">
        <v>127854</v>
      </c>
      <c r="C3096" s="75" t="s">
        <v>2312</v>
      </c>
      <c r="D3096" s="133">
        <f>SUMIF(B$3:B$3844,B3096,M$3:M$3844)/(SUMIF(B$3:B$3844,B3096,J$3:J$3844))</f>
        <v>0.49315412286327764</v>
      </c>
      <c r="E3096" s="23">
        <v>38478</v>
      </c>
      <c r="F3096" s="46" t="s">
        <v>2327</v>
      </c>
      <c r="G3096" s="23"/>
      <c r="H3096" s="23"/>
      <c r="I3096" s="41">
        <v>541</v>
      </c>
      <c r="J3096" s="41">
        <v>637</v>
      </c>
      <c r="K3096" s="76"/>
      <c r="L3096" s="80"/>
      <c r="M3096" s="134">
        <f>IF(L3096="",I3096,(MIN(J3096,(L3096*1.6*J3096))))</f>
        <v>541</v>
      </c>
      <c r="N3096" s="127">
        <f>IF(M3096=0,0,(M3096/J3096))</f>
        <v>0.84929356357927788</v>
      </c>
    </row>
    <row r="3097" spans="2:14">
      <c r="B3097" s="72">
        <v>127854</v>
      </c>
      <c r="C3097" s="74" t="s">
        <v>2312</v>
      </c>
      <c r="D3097" s="133">
        <f>SUMIF(B$3:B$3844,B3097,M$3:M$3844)/(SUMIF(B$3:B$3844,B3097,J$3:J$3844))</f>
        <v>0.49315412286327764</v>
      </c>
      <c r="E3097" s="47">
        <v>38455</v>
      </c>
      <c r="F3097" s="48" t="s">
        <v>2328</v>
      </c>
      <c r="G3097" s="47"/>
      <c r="H3097" s="47"/>
      <c r="I3097" s="40">
        <v>397</v>
      </c>
      <c r="J3097" s="40">
        <v>723</v>
      </c>
      <c r="K3097" s="76"/>
      <c r="L3097" s="80"/>
      <c r="M3097" s="134">
        <f>IF(L3097="",I3097,(MIN(J3097,(L3097*1.6*J3097))))</f>
        <v>397</v>
      </c>
      <c r="N3097" s="127">
        <f>IF(M3097=0,0,(M3097/J3097))</f>
        <v>0.54910096818810517</v>
      </c>
    </row>
    <row r="3098" spans="2:14">
      <c r="B3098" s="73">
        <v>127854</v>
      </c>
      <c r="C3098" s="75" t="s">
        <v>2312</v>
      </c>
      <c r="D3098" s="133">
        <f>SUMIF(B$3:B$3844,B3098,M$3:M$3844)/(SUMIF(B$3:B$3844,B3098,J$3:J$3844))</f>
        <v>0.49315412286327764</v>
      </c>
      <c r="E3098" s="23">
        <v>233830</v>
      </c>
      <c r="F3098" s="46" t="s">
        <v>2329</v>
      </c>
      <c r="G3098" s="23"/>
      <c r="H3098" s="23"/>
      <c r="I3098" s="41">
        <v>619</v>
      </c>
      <c r="J3098" s="41">
        <v>872</v>
      </c>
      <c r="K3098" s="76"/>
      <c r="L3098" s="80"/>
      <c r="M3098" s="134">
        <f>IF(L3098="",I3098,(MIN(J3098,(L3098*1.6*J3098))))</f>
        <v>619</v>
      </c>
      <c r="N3098" s="127">
        <f>IF(M3098=0,0,(M3098/J3098))</f>
        <v>0.70986238532110091</v>
      </c>
    </row>
    <row r="3099" spans="2:14">
      <c r="B3099" s="72">
        <v>127854</v>
      </c>
      <c r="C3099" s="74" t="s">
        <v>2312</v>
      </c>
      <c r="D3099" s="133">
        <f>SUMIF(B$3:B$3844,B3099,M$3:M$3844)/(SUMIF(B$3:B$3844,B3099,J$3:J$3844))</f>
        <v>0.49315412286327764</v>
      </c>
      <c r="E3099" s="47">
        <v>38491</v>
      </c>
      <c r="F3099" s="48" t="s">
        <v>373</v>
      </c>
      <c r="G3099" s="47"/>
      <c r="H3099" s="47"/>
      <c r="I3099" s="40">
        <v>199</v>
      </c>
      <c r="J3099" s="40">
        <v>588</v>
      </c>
      <c r="K3099" s="76"/>
      <c r="L3099" s="80"/>
      <c r="M3099" s="134">
        <f>IF(L3099="",I3099,(MIN(J3099,(L3099*1.6*J3099))))</f>
        <v>199</v>
      </c>
      <c r="N3099" s="127">
        <f>IF(M3099=0,0,(M3099/J3099))</f>
        <v>0.33843537414965985</v>
      </c>
    </row>
    <row r="3100" spans="2:14">
      <c r="B3100" s="73">
        <v>127854</v>
      </c>
      <c r="C3100" s="75" t="s">
        <v>2312</v>
      </c>
      <c r="D3100" s="133">
        <f>SUMIF(B$3:B$3844,B3100,M$3:M$3844)/(SUMIF(B$3:B$3844,B3100,J$3:J$3844))</f>
        <v>0.49315412286327764</v>
      </c>
      <c r="E3100" s="23">
        <v>16044510</v>
      </c>
      <c r="F3100" s="46" t="s">
        <v>2330</v>
      </c>
      <c r="G3100" s="23"/>
      <c r="H3100" s="23"/>
      <c r="I3100" s="41">
        <v>537</v>
      </c>
      <c r="J3100" s="41">
        <v>808</v>
      </c>
      <c r="K3100" s="76"/>
      <c r="L3100" s="80"/>
      <c r="M3100" s="134">
        <f>IF(L3100="",I3100,(MIN(J3100,(L3100*1.6*J3100))))</f>
        <v>537</v>
      </c>
      <c r="N3100" s="127">
        <f>IF(M3100=0,0,(M3100/J3100))</f>
        <v>0.66460396039603964</v>
      </c>
    </row>
    <row r="3101" spans="2:14">
      <c r="B3101" s="72">
        <v>127854</v>
      </c>
      <c r="C3101" s="74" t="s">
        <v>2312</v>
      </c>
      <c r="D3101" s="133">
        <f>SUMIF(B$3:B$3844,B3101,M$3:M$3844)/(SUMIF(B$3:B$3844,B3101,J$3:J$3844))</f>
        <v>0.49315412286327764</v>
      </c>
      <c r="E3101" s="47">
        <v>38506</v>
      </c>
      <c r="F3101" s="48" t="s">
        <v>2331</v>
      </c>
      <c r="G3101" s="47"/>
      <c r="H3101" s="47"/>
      <c r="I3101" s="40">
        <v>453</v>
      </c>
      <c r="J3101" s="40">
        <v>1075</v>
      </c>
      <c r="K3101" s="76"/>
      <c r="L3101" s="80"/>
      <c r="M3101" s="134">
        <f>IF(L3101="",I3101,(MIN(J3101,(L3101*1.6*J3101))))</f>
        <v>453</v>
      </c>
      <c r="N3101" s="127">
        <f>IF(M3101=0,0,(M3101/J3101))</f>
        <v>0.4213953488372093</v>
      </c>
    </row>
    <row r="3102" spans="2:14">
      <c r="B3102" s="73">
        <v>127854</v>
      </c>
      <c r="C3102" s="75" t="s">
        <v>2312</v>
      </c>
      <c r="D3102" s="133">
        <f>SUMIF(B$3:B$3844,B3102,M$3:M$3844)/(SUMIF(B$3:B$3844,B3102,J$3:J$3844))</f>
        <v>0.49315412286327764</v>
      </c>
      <c r="E3102" s="23">
        <v>38460</v>
      </c>
      <c r="F3102" s="46" t="s">
        <v>2332</v>
      </c>
      <c r="G3102" s="23"/>
      <c r="H3102" s="23"/>
      <c r="I3102" s="41">
        <v>386</v>
      </c>
      <c r="J3102" s="41">
        <v>677</v>
      </c>
      <c r="K3102" s="76"/>
      <c r="L3102" s="80"/>
      <c r="M3102" s="134">
        <f>IF(L3102="",I3102,(MIN(J3102,(L3102*1.6*J3102))))</f>
        <v>386</v>
      </c>
      <c r="N3102" s="127">
        <f>IF(M3102=0,0,(M3102/J3102))</f>
        <v>0.57016248153618909</v>
      </c>
    </row>
    <row r="3103" spans="2:14">
      <c r="B3103" s="72">
        <v>127854</v>
      </c>
      <c r="C3103" s="74" t="s">
        <v>2312</v>
      </c>
      <c r="D3103" s="133">
        <f>SUMIF(B$3:B$3844,B3103,M$3:M$3844)/(SUMIF(B$3:B$3844,B3103,J$3:J$3844))</f>
        <v>0.49315412286327764</v>
      </c>
      <c r="E3103" s="47">
        <v>210248</v>
      </c>
      <c r="F3103" s="48" t="s">
        <v>2333</v>
      </c>
      <c r="G3103" s="47"/>
      <c r="H3103" s="47"/>
      <c r="I3103" s="40">
        <v>1360</v>
      </c>
      <c r="J3103" s="40">
        <v>2354</v>
      </c>
      <c r="K3103" s="76"/>
      <c r="L3103" s="80"/>
      <c r="M3103" s="134">
        <f>IF(L3103="",I3103,(MIN(J3103,(L3103*1.6*J3103))))</f>
        <v>1360</v>
      </c>
      <c r="N3103" s="127">
        <f>IF(M3103=0,0,(M3103/J3103))</f>
        <v>0.57774001699235344</v>
      </c>
    </row>
    <row r="3104" spans="2:14">
      <c r="B3104" s="73">
        <v>127854</v>
      </c>
      <c r="C3104" s="75" t="s">
        <v>2312</v>
      </c>
      <c r="D3104" s="133">
        <f>SUMIF(B$3:B$3844,B3104,M$3:M$3844)/(SUMIF(B$3:B$3844,B3104,J$3:J$3844))</f>
        <v>0.49315412286327764</v>
      </c>
      <c r="E3104" s="23">
        <v>38492</v>
      </c>
      <c r="F3104" s="46" t="s">
        <v>2334</v>
      </c>
      <c r="G3104" s="23"/>
      <c r="H3104" s="23"/>
      <c r="I3104" s="41">
        <v>170</v>
      </c>
      <c r="J3104" s="41">
        <v>301</v>
      </c>
      <c r="K3104" s="76"/>
      <c r="L3104" s="80"/>
      <c r="M3104" s="134">
        <f>IF(L3104="",I3104,(MIN(J3104,(L3104*1.6*J3104))))</f>
        <v>170</v>
      </c>
      <c r="N3104" s="127">
        <f>IF(M3104=0,0,(M3104/J3104))</f>
        <v>0.56478405315614622</v>
      </c>
    </row>
    <row r="3105" spans="2:14">
      <c r="B3105" s="72">
        <v>127854</v>
      </c>
      <c r="C3105" s="74" t="s">
        <v>2312</v>
      </c>
      <c r="D3105" s="133">
        <f>SUMIF(B$3:B$3844,B3105,M$3:M$3844)/(SUMIF(B$3:B$3844,B3105,J$3:J$3844))</f>
        <v>0.49315412286327764</v>
      </c>
      <c r="E3105" s="47">
        <v>38452</v>
      </c>
      <c r="F3105" s="48" t="s">
        <v>2335</v>
      </c>
      <c r="G3105" s="47"/>
      <c r="H3105" s="47"/>
      <c r="I3105" s="40">
        <v>367</v>
      </c>
      <c r="J3105" s="40">
        <v>810</v>
      </c>
      <c r="K3105" s="76"/>
      <c r="L3105" s="80"/>
      <c r="M3105" s="134">
        <f>IF(L3105="",I3105,(MIN(J3105,(L3105*1.6*J3105))))</f>
        <v>367</v>
      </c>
      <c r="N3105" s="127">
        <f>IF(M3105=0,0,(M3105/J3105))</f>
        <v>0.45308641975308644</v>
      </c>
    </row>
    <row r="3106" spans="2:14">
      <c r="B3106" s="73">
        <v>127854</v>
      </c>
      <c r="C3106" s="75" t="s">
        <v>2312</v>
      </c>
      <c r="D3106" s="133">
        <f>SUMIF(B$3:B$3844,B3106,M$3:M$3844)/(SUMIF(B$3:B$3844,B3106,J$3:J$3844))</f>
        <v>0.49315412286327764</v>
      </c>
      <c r="E3106" s="23">
        <v>38449</v>
      </c>
      <c r="F3106" s="46" t="s">
        <v>2336</v>
      </c>
      <c r="G3106" s="23"/>
      <c r="H3106" s="23"/>
      <c r="I3106" s="41">
        <v>259</v>
      </c>
      <c r="J3106" s="41">
        <v>2174</v>
      </c>
      <c r="K3106" s="76"/>
      <c r="L3106" s="80"/>
      <c r="M3106" s="134">
        <f>IF(L3106="",I3106,(MIN(J3106,(L3106*1.6*J3106))))</f>
        <v>259</v>
      </c>
      <c r="N3106" s="127">
        <f>IF(M3106=0,0,(M3106/J3106))</f>
        <v>0.11913523459061638</v>
      </c>
    </row>
    <row r="3107" spans="2:14">
      <c r="B3107" s="72">
        <v>127854</v>
      </c>
      <c r="C3107" s="74" t="s">
        <v>2312</v>
      </c>
      <c r="D3107" s="133">
        <f>SUMIF(B$3:B$3844,B3107,M$3:M$3844)/(SUMIF(B$3:B$3844,B3107,J$3:J$3844))</f>
        <v>0.49315412286327764</v>
      </c>
      <c r="E3107" s="47">
        <v>38454</v>
      </c>
      <c r="F3107" s="48" t="s">
        <v>2337</v>
      </c>
      <c r="G3107" s="47"/>
      <c r="H3107" s="47"/>
      <c r="I3107" s="40">
        <v>811</v>
      </c>
      <c r="J3107" s="40">
        <v>2490</v>
      </c>
      <c r="K3107" s="76"/>
      <c r="L3107" s="80"/>
      <c r="M3107" s="134">
        <f>IF(L3107="",I3107,(MIN(J3107,(L3107*1.6*J3107))))</f>
        <v>811</v>
      </c>
      <c r="N3107" s="127">
        <f>IF(M3107=0,0,(M3107/J3107))</f>
        <v>0.32570281124497991</v>
      </c>
    </row>
    <row r="3108" spans="2:14">
      <c r="B3108" s="73">
        <v>127854</v>
      </c>
      <c r="C3108" s="75" t="s">
        <v>2312</v>
      </c>
      <c r="D3108" s="133">
        <f>SUMIF(B$3:B$3844,B3108,M$3:M$3844)/(SUMIF(B$3:B$3844,B3108,J$3:J$3844))</f>
        <v>0.49315412286327764</v>
      </c>
      <c r="E3108" s="23">
        <v>38482</v>
      </c>
      <c r="F3108" s="46" t="s">
        <v>2338</v>
      </c>
      <c r="G3108" s="23"/>
      <c r="H3108" s="23"/>
      <c r="I3108" s="41">
        <v>906</v>
      </c>
      <c r="J3108" s="41">
        <v>2085</v>
      </c>
      <c r="K3108" s="76"/>
      <c r="L3108" s="80"/>
      <c r="M3108" s="134">
        <f>IF(L3108="",I3108,(MIN(J3108,(L3108*1.6*J3108))))</f>
        <v>906</v>
      </c>
      <c r="N3108" s="127">
        <f>IF(M3108=0,0,(M3108/J3108))</f>
        <v>0.43453237410071943</v>
      </c>
    </row>
    <row r="3109" spans="2:14">
      <c r="B3109" s="72">
        <v>127854</v>
      </c>
      <c r="C3109" s="74" t="s">
        <v>2312</v>
      </c>
      <c r="D3109" s="133">
        <f>SUMIF(B$3:B$3844,B3109,M$3:M$3844)/(SUMIF(B$3:B$3844,B3109,J$3:J$3844))</f>
        <v>0.49315412286327764</v>
      </c>
      <c r="E3109" s="47">
        <v>38470</v>
      </c>
      <c r="F3109" s="48" t="s">
        <v>2339</v>
      </c>
      <c r="G3109" s="47"/>
      <c r="H3109" s="47"/>
      <c r="I3109" s="40">
        <v>328</v>
      </c>
      <c r="J3109" s="40">
        <v>1267</v>
      </c>
      <c r="K3109" s="76"/>
      <c r="L3109" s="80"/>
      <c r="M3109" s="134">
        <f>IF(L3109="",I3109,(MIN(J3109,(L3109*1.6*J3109))))</f>
        <v>328</v>
      </c>
      <c r="N3109" s="127">
        <f>IF(M3109=0,0,(M3109/J3109))</f>
        <v>0.25887924230465664</v>
      </c>
    </row>
    <row r="3110" spans="2:14">
      <c r="B3110" s="73">
        <v>127854</v>
      </c>
      <c r="C3110" s="75" t="s">
        <v>2312</v>
      </c>
      <c r="D3110" s="133">
        <f>SUMIF(B$3:B$3844,B3110,M$3:M$3844)/(SUMIF(B$3:B$3844,B3110,J$3:J$3844))</f>
        <v>0.49315412286327764</v>
      </c>
      <c r="E3110" s="23">
        <v>38486</v>
      </c>
      <c r="F3110" s="46" t="s">
        <v>462</v>
      </c>
      <c r="G3110" s="23"/>
      <c r="H3110" s="23"/>
      <c r="I3110" s="41">
        <v>210</v>
      </c>
      <c r="J3110" s="41">
        <v>763</v>
      </c>
      <c r="K3110" s="76"/>
      <c r="L3110" s="80"/>
      <c r="M3110" s="134">
        <f>IF(L3110="",I3110,(MIN(J3110,(L3110*1.6*J3110))))</f>
        <v>210</v>
      </c>
      <c r="N3110" s="127">
        <f>IF(M3110=0,0,(M3110/J3110))</f>
        <v>0.27522935779816515</v>
      </c>
    </row>
    <row r="3111" spans="2:14">
      <c r="B3111" s="72">
        <v>127854</v>
      </c>
      <c r="C3111" s="74" t="s">
        <v>2312</v>
      </c>
      <c r="D3111" s="133">
        <f>SUMIF(B$3:B$3844,B3111,M$3:M$3844)/(SUMIF(B$3:B$3844,B3111,J$3:J$3844))</f>
        <v>0.49315412286327764</v>
      </c>
      <c r="E3111" s="47">
        <v>16053710</v>
      </c>
      <c r="F3111" s="48" t="s">
        <v>2340</v>
      </c>
      <c r="G3111" s="47"/>
      <c r="H3111" s="47"/>
      <c r="I3111" s="40">
        <v>192</v>
      </c>
      <c r="J3111" s="40">
        <v>570</v>
      </c>
      <c r="K3111" s="76"/>
      <c r="L3111" s="80"/>
      <c r="M3111" s="134">
        <f>IF(L3111="",I3111,(MIN(J3111,(L3111*1.6*J3111))))</f>
        <v>192</v>
      </c>
      <c r="N3111" s="127">
        <f>IF(M3111=0,0,(M3111/J3111))</f>
        <v>0.33684210526315789</v>
      </c>
    </row>
    <row r="3112" spans="2:14">
      <c r="B3112" s="73">
        <v>127854</v>
      </c>
      <c r="C3112" s="75" t="s">
        <v>2312</v>
      </c>
      <c r="D3112" s="133">
        <f>SUMIF(B$3:B$3844,B3112,M$3:M$3844)/(SUMIF(B$3:B$3844,B3112,J$3:J$3844))</f>
        <v>0.49315412286327764</v>
      </c>
      <c r="E3112" s="23">
        <v>16025582</v>
      </c>
      <c r="F3112" s="46" t="s">
        <v>2341</v>
      </c>
      <c r="G3112" s="23"/>
      <c r="H3112" s="23"/>
      <c r="I3112" s="41">
        <v>153</v>
      </c>
      <c r="J3112" s="41">
        <v>657</v>
      </c>
      <c r="K3112" s="76"/>
      <c r="L3112" s="80"/>
      <c r="M3112" s="134">
        <f>IF(L3112="",I3112,(MIN(J3112,(L3112*1.6*J3112))))</f>
        <v>153</v>
      </c>
      <c r="N3112" s="127">
        <f>IF(M3112=0,0,(M3112/J3112))</f>
        <v>0.23287671232876711</v>
      </c>
    </row>
    <row r="3113" spans="2:14">
      <c r="B3113" s="72">
        <v>127854</v>
      </c>
      <c r="C3113" s="74" t="s">
        <v>2312</v>
      </c>
      <c r="D3113" s="133">
        <f>SUMIF(B$3:B$3844,B3113,M$3:M$3844)/(SUMIF(B$3:B$3844,B3113,J$3:J$3844))</f>
        <v>0.49315412286327764</v>
      </c>
      <c r="E3113" s="47">
        <v>38517</v>
      </c>
      <c r="F3113" s="48" t="s">
        <v>2342</v>
      </c>
      <c r="G3113" s="47"/>
      <c r="H3113" s="47"/>
      <c r="I3113" s="40">
        <v>246</v>
      </c>
      <c r="J3113" s="40">
        <v>642</v>
      </c>
      <c r="K3113" s="76"/>
      <c r="L3113" s="80"/>
      <c r="M3113" s="134">
        <f>IF(L3113="",I3113,(MIN(J3113,(L3113*1.6*J3113))))</f>
        <v>246</v>
      </c>
      <c r="N3113" s="127">
        <f>IF(M3113=0,0,(M3113/J3113))</f>
        <v>0.38317757009345793</v>
      </c>
    </row>
    <row r="3114" spans="2:14">
      <c r="B3114" s="73">
        <v>127854</v>
      </c>
      <c r="C3114" s="75" t="s">
        <v>2312</v>
      </c>
      <c r="D3114" s="133">
        <f>SUMIF(B$3:B$3844,B3114,M$3:M$3844)/(SUMIF(B$3:B$3844,B3114,J$3:J$3844))</f>
        <v>0.49315412286327764</v>
      </c>
      <c r="E3114" s="23">
        <v>38512</v>
      </c>
      <c r="F3114" s="46" t="s">
        <v>2343</v>
      </c>
      <c r="G3114" s="23"/>
      <c r="H3114" s="23"/>
      <c r="I3114" s="41">
        <v>400</v>
      </c>
      <c r="J3114" s="41">
        <v>722</v>
      </c>
      <c r="K3114" s="76"/>
      <c r="L3114" s="80"/>
      <c r="M3114" s="134">
        <f>IF(L3114="",I3114,(MIN(J3114,(L3114*1.6*J3114))))</f>
        <v>400</v>
      </c>
      <c r="N3114" s="127">
        <f>IF(M3114=0,0,(M3114/J3114))</f>
        <v>0.554016620498615</v>
      </c>
    </row>
    <row r="3115" spans="2:14">
      <c r="B3115" s="72">
        <v>127854</v>
      </c>
      <c r="C3115" s="74" t="s">
        <v>2312</v>
      </c>
      <c r="D3115" s="133">
        <f>SUMIF(B$3:B$3844,B3115,M$3:M$3844)/(SUMIF(B$3:B$3844,B3115,J$3:J$3844))</f>
        <v>0.49315412286327764</v>
      </c>
      <c r="E3115" s="47">
        <v>173069</v>
      </c>
      <c r="F3115" s="48" t="s">
        <v>2344</v>
      </c>
      <c r="G3115" s="47"/>
      <c r="H3115" s="47"/>
      <c r="I3115" s="40">
        <v>63</v>
      </c>
      <c r="J3115" s="40">
        <v>86</v>
      </c>
      <c r="K3115" s="76"/>
      <c r="L3115" s="80"/>
      <c r="M3115" s="134">
        <f>IF(L3115="",I3115,(MIN(J3115,(L3115*1.6*J3115))))</f>
        <v>63</v>
      </c>
      <c r="N3115" s="127">
        <f>IF(M3115=0,0,(M3115/J3115))</f>
        <v>0.73255813953488369</v>
      </c>
    </row>
    <row r="3116" spans="2:14">
      <c r="B3116" s="73">
        <v>127854</v>
      </c>
      <c r="C3116" s="75" t="s">
        <v>2312</v>
      </c>
      <c r="D3116" s="133">
        <f>SUMIF(B$3:B$3844,B3116,M$3:M$3844)/(SUMIF(B$3:B$3844,B3116,J$3:J$3844))</f>
        <v>0.49315412286327764</v>
      </c>
      <c r="E3116" s="23">
        <v>38480</v>
      </c>
      <c r="F3116" s="46" t="s">
        <v>2345</v>
      </c>
      <c r="G3116" s="23"/>
      <c r="H3116" s="23"/>
      <c r="I3116" s="41">
        <v>609</v>
      </c>
      <c r="J3116" s="41">
        <v>695</v>
      </c>
      <c r="K3116" s="76"/>
      <c r="L3116" s="80"/>
      <c r="M3116" s="134">
        <f>IF(L3116="",I3116,(MIN(J3116,(L3116*1.6*J3116))))</f>
        <v>609</v>
      </c>
      <c r="N3116" s="127">
        <f>IF(M3116=0,0,(M3116/J3116))</f>
        <v>0.87625899280575537</v>
      </c>
    </row>
    <row r="3117" spans="2:14">
      <c r="B3117" s="72">
        <v>127854</v>
      </c>
      <c r="C3117" s="74" t="s">
        <v>2312</v>
      </c>
      <c r="D3117" s="133">
        <f>SUMIF(B$3:B$3844,B3117,M$3:M$3844)/(SUMIF(B$3:B$3844,B3117,J$3:J$3844))</f>
        <v>0.49315412286327764</v>
      </c>
      <c r="E3117" s="47">
        <v>38509</v>
      </c>
      <c r="F3117" s="48" t="s">
        <v>2346</v>
      </c>
      <c r="G3117" s="47"/>
      <c r="H3117" s="47"/>
      <c r="I3117" s="40">
        <v>227</v>
      </c>
      <c r="J3117" s="40">
        <v>585</v>
      </c>
      <c r="K3117" s="76"/>
      <c r="L3117" s="80"/>
      <c r="M3117" s="134">
        <f>IF(L3117="",I3117,(MIN(J3117,(L3117*1.6*J3117))))</f>
        <v>227</v>
      </c>
      <c r="N3117" s="127">
        <f>IF(M3117=0,0,(M3117/J3117))</f>
        <v>0.38803418803418804</v>
      </c>
    </row>
    <row r="3118" spans="2:14">
      <c r="B3118" s="73">
        <v>127854</v>
      </c>
      <c r="C3118" s="75" t="s">
        <v>2312</v>
      </c>
      <c r="D3118" s="133">
        <f>SUMIF(B$3:B$3844,B3118,M$3:M$3844)/(SUMIF(B$3:B$3844,B3118,J$3:J$3844))</f>
        <v>0.49315412286327764</v>
      </c>
      <c r="E3118" s="23">
        <v>38515</v>
      </c>
      <c r="F3118" s="46" t="s">
        <v>2347</v>
      </c>
      <c r="G3118" s="23"/>
      <c r="H3118" s="23"/>
      <c r="I3118" s="41">
        <v>256</v>
      </c>
      <c r="J3118" s="41">
        <v>554</v>
      </c>
      <c r="K3118" s="76"/>
      <c r="L3118" s="80"/>
      <c r="M3118" s="134">
        <f>IF(L3118="",I3118,(MIN(J3118,(L3118*1.6*J3118))))</f>
        <v>256</v>
      </c>
      <c r="N3118" s="127">
        <f>IF(M3118=0,0,(M3118/J3118))</f>
        <v>0.46209386281588449</v>
      </c>
    </row>
    <row r="3119" spans="2:14">
      <c r="B3119" s="72">
        <v>127854</v>
      </c>
      <c r="C3119" s="74" t="s">
        <v>2312</v>
      </c>
      <c r="D3119" s="133">
        <f>SUMIF(B$3:B$3844,B3119,M$3:M$3844)/(SUMIF(B$3:B$3844,B3119,J$3:J$3844))</f>
        <v>0.49315412286327764</v>
      </c>
      <c r="E3119" s="47">
        <v>38510</v>
      </c>
      <c r="F3119" s="48" t="s">
        <v>2348</v>
      </c>
      <c r="G3119" s="47"/>
      <c r="H3119" s="47"/>
      <c r="I3119" s="40">
        <v>703</v>
      </c>
      <c r="J3119" s="40">
        <v>2106</v>
      </c>
      <c r="K3119" s="76"/>
      <c r="L3119" s="80"/>
      <c r="M3119" s="134">
        <f>IF(L3119="",I3119,(MIN(J3119,(L3119*1.6*J3119))))</f>
        <v>703</v>
      </c>
      <c r="N3119" s="127">
        <f>IF(M3119=0,0,(M3119/J3119))</f>
        <v>0.33380816714150047</v>
      </c>
    </row>
    <row r="3120" spans="2:14">
      <c r="B3120" s="73">
        <v>127854</v>
      </c>
      <c r="C3120" s="75" t="s">
        <v>2312</v>
      </c>
      <c r="D3120" s="133">
        <f>SUMIF(B$3:B$3844,B3120,M$3:M$3844)/(SUMIF(B$3:B$3844,B3120,J$3:J$3844))</f>
        <v>0.49315412286327764</v>
      </c>
      <c r="E3120" s="23">
        <v>38456</v>
      </c>
      <c r="F3120" s="46" t="s">
        <v>2349</v>
      </c>
      <c r="G3120" s="23"/>
      <c r="H3120" s="23"/>
      <c r="I3120" s="41">
        <v>320</v>
      </c>
      <c r="J3120" s="41">
        <v>434</v>
      </c>
      <c r="K3120" s="76"/>
      <c r="L3120" s="80"/>
      <c r="M3120" s="134">
        <f>IF(L3120="",I3120,(MIN(J3120,(L3120*1.6*J3120))))</f>
        <v>320</v>
      </c>
      <c r="N3120" s="127">
        <f>IF(M3120=0,0,(M3120/J3120))</f>
        <v>0.73732718894009219</v>
      </c>
    </row>
    <row r="3121" spans="2:14">
      <c r="B3121" s="72">
        <v>127854</v>
      </c>
      <c r="C3121" s="74" t="s">
        <v>2312</v>
      </c>
      <c r="D3121" s="133">
        <f>SUMIF(B$3:B$3844,B3121,M$3:M$3844)/(SUMIF(B$3:B$3844,B3121,J$3:J$3844))</f>
        <v>0.49315412286327764</v>
      </c>
      <c r="E3121" s="47">
        <v>16053709</v>
      </c>
      <c r="F3121" s="48" t="s">
        <v>2350</v>
      </c>
      <c r="G3121" s="47"/>
      <c r="H3121" s="47"/>
      <c r="I3121" s="40">
        <v>483</v>
      </c>
      <c r="J3121" s="40">
        <v>859</v>
      </c>
      <c r="K3121" s="76"/>
      <c r="L3121" s="80"/>
      <c r="M3121" s="134">
        <f>IF(L3121="",I3121,(MIN(J3121,(L3121*1.6*J3121))))</f>
        <v>483</v>
      </c>
      <c r="N3121" s="127">
        <f>IF(M3121=0,0,(M3121/J3121))</f>
        <v>0.56228172293364376</v>
      </c>
    </row>
    <row r="3122" spans="2:14">
      <c r="B3122" s="72">
        <v>127671</v>
      </c>
      <c r="C3122" s="74" t="s">
        <v>1371</v>
      </c>
      <c r="D3122" s="133">
        <f>SUMIF(B$3:B$3844,B3122,M$3:M$3844)/(SUMIF(B$3:B$3844,B3122,J$3:J$3844))</f>
        <v>0.48503479391297699</v>
      </c>
      <c r="E3122" s="47">
        <v>35787</v>
      </c>
      <c r="F3122" s="48" t="s">
        <v>1372</v>
      </c>
      <c r="G3122" s="47"/>
      <c r="H3122" s="47"/>
      <c r="I3122" s="40">
        <v>591</v>
      </c>
      <c r="J3122" s="40">
        <v>797</v>
      </c>
      <c r="K3122" s="135"/>
      <c r="L3122" s="136"/>
      <c r="M3122" s="134">
        <f>IF(L3122="",I3122,(MIN(J3122,(L3122*1.6*J3122))))</f>
        <v>591</v>
      </c>
      <c r="N3122" s="127">
        <f>IF(M3122=0,0,(M3122/J3122))</f>
        <v>0.74153074027603516</v>
      </c>
    </row>
    <row r="3123" spans="2:14">
      <c r="B3123" s="72">
        <v>127671</v>
      </c>
      <c r="C3123" s="74" t="s">
        <v>1371</v>
      </c>
      <c r="D3123" s="133">
        <f>SUMIF(B$3:B$3844,B3123,M$3:M$3844)/(SUMIF(B$3:B$3844,B3123,J$3:J$3844))</f>
        <v>0.48503479391297699</v>
      </c>
      <c r="E3123" s="47">
        <v>35790</v>
      </c>
      <c r="F3123" s="48" t="s">
        <v>1373</v>
      </c>
      <c r="G3123" s="47"/>
      <c r="H3123" s="47"/>
      <c r="I3123" s="40">
        <v>601</v>
      </c>
      <c r="J3123" s="40">
        <v>1101</v>
      </c>
      <c r="K3123" s="135"/>
      <c r="L3123" s="136"/>
      <c r="M3123" s="134">
        <f>IF(L3123="",I3123,(MIN(J3123,(L3123*1.6*J3123))))</f>
        <v>601</v>
      </c>
      <c r="N3123" s="127">
        <f>IF(M3123=0,0,(M3123/J3123))</f>
        <v>0.54586739327883738</v>
      </c>
    </row>
    <row r="3124" spans="2:14">
      <c r="B3124" s="72">
        <v>127671</v>
      </c>
      <c r="C3124" s="74" t="s">
        <v>1371</v>
      </c>
      <c r="D3124" s="133">
        <f>SUMIF(B$3:B$3844,B3124,M$3:M$3844)/(SUMIF(B$3:B$3844,B3124,J$3:J$3844))</f>
        <v>0.48503479391297699</v>
      </c>
      <c r="E3124" s="47">
        <v>226172</v>
      </c>
      <c r="F3124" s="48" t="s">
        <v>1374</v>
      </c>
      <c r="G3124" s="47"/>
      <c r="H3124" s="47"/>
      <c r="I3124" s="40">
        <v>570</v>
      </c>
      <c r="J3124" s="40">
        <v>939</v>
      </c>
      <c r="K3124" s="135"/>
      <c r="L3124" s="136"/>
      <c r="M3124" s="134">
        <f>IF(L3124="",I3124,(MIN(J3124,(L3124*1.6*J3124))))</f>
        <v>570</v>
      </c>
      <c r="N3124" s="127">
        <f>IF(M3124=0,0,(M3124/J3124))</f>
        <v>0.60702875399361023</v>
      </c>
    </row>
    <row r="3125" spans="2:14">
      <c r="B3125" s="72">
        <v>127671</v>
      </c>
      <c r="C3125" s="74" t="s">
        <v>1371</v>
      </c>
      <c r="D3125" s="133">
        <f>SUMIF(B$3:B$3844,B3125,M$3:M$3844)/(SUMIF(B$3:B$3844,B3125,J$3:J$3844))</f>
        <v>0.48503479391297699</v>
      </c>
      <c r="E3125" s="47">
        <v>16083171</v>
      </c>
      <c r="F3125" s="48" t="s">
        <v>1375</v>
      </c>
      <c r="G3125" s="47"/>
      <c r="H3125" s="47"/>
      <c r="I3125" s="40"/>
      <c r="J3125" s="40" t="s">
        <v>798</v>
      </c>
      <c r="K3125" s="135"/>
      <c r="L3125" s="136"/>
      <c r="M3125" s="134">
        <f>IF(L3125="",I3125,(MIN(J3125,(L3125*1.6*J3125))))</f>
        <v>0</v>
      </c>
      <c r="N3125" s="127">
        <f>IF(M3125=0,0,(M3125/J3125))</f>
        <v>0</v>
      </c>
    </row>
    <row r="3126" spans="2:14">
      <c r="B3126" s="72">
        <v>127671</v>
      </c>
      <c r="C3126" s="74" t="s">
        <v>1371</v>
      </c>
      <c r="D3126" s="133">
        <f>SUMIF(B$3:B$3844,B3126,M$3:M$3844)/(SUMIF(B$3:B$3844,B3126,J$3:J$3844))</f>
        <v>0.48503479391297699</v>
      </c>
      <c r="E3126" s="47">
        <v>35910</v>
      </c>
      <c r="F3126" s="48" t="s">
        <v>1376</v>
      </c>
      <c r="G3126" s="47"/>
      <c r="H3126" s="47"/>
      <c r="I3126" s="40">
        <v>289</v>
      </c>
      <c r="J3126" s="40">
        <v>947</v>
      </c>
      <c r="K3126" s="135"/>
      <c r="L3126" s="136"/>
      <c r="M3126" s="134">
        <f>IF(L3126="",I3126,(MIN(J3126,(L3126*1.6*J3126))))</f>
        <v>289</v>
      </c>
      <c r="N3126" s="127">
        <f>IF(M3126=0,0,(M3126/J3126))</f>
        <v>0.30517423442449843</v>
      </c>
    </row>
    <row r="3127" spans="2:14">
      <c r="B3127" s="72">
        <v>127671</v>
      </c>
      <c r="C3127" s="74" t="s">
        <v>1371</v>
      </c>
      <c r="D3127" s="133">
        <f>SUMIF(B$3:B$3844,B3127,M$3:M$3844)/(SUMIF(B$3:B$3844,B3127,J$3:J$3844))</f>
        <v>0.48503479391297699</v>
      </c>
      <c r="E3127" s="47">
        <v>35799</v>
      </c>
      <c r="F3127" s="48" t="s">
        <v>1377</v>
      </c>
      <c r="G3127" s="47"/>
      <c r="H3127" s="47"/>
      <c r="I3127" s="40">
        <v>507</v>
      </c>
      <c r="J3127" s="40">
        <v>719</v>
      </c>
      <c r="K3127" s="135"/>
      <c r="L3127" s="136"/>
      <c r="M3127" s="134">
        <f>IF(L3127="",I3127,(MIN(J3127,(L3127*1.6*J3127))))</f>
        <v>507</v>
      </c>
      <c r="N3127" s="127">
        <f>IF(M3127=0,0,(M3127/J3127))</f>
        <v>0.7051460361613352</v>
      </c>
    </row>
    <row r="3128" spans="2:14">
      <c r="B3128" s="72">
        <v>127671</v>
      </c>
      <c r="C3128" s="74" t="s">
        <v>1371</v>
      </c>
      <c r="D3128" s="133">
        <f>SUMIF(B$3:B$3844,B3128,M$3:M$3844)/(SUMIF(B$3:B$3844,B3128,J$3:J$3844))</f>
        <v>0.48503479391297699</v>
      </c>
      <c r="E3128" s="47">
        <v>226140</v>
      </c>
      <c r="F3128" s="48" t="s">
        <v>1378</v>
      </c>
      <c r="G3128" s="47"/>
      <c r="H3128" s="47"/>
      <c r="I3128" s="40">
        <v>306</v>
      </c>
      <c r="J3128" s="40">
        <v>1264</v>
      </c>
      <c r="K3128" s="135"/>
      <c r="L3128" s="136"/>
      <c r="M3128" s="134">
        <f>IF(L3128="",I3128,(MIN(J3128,(L3128*1.6*J3128))))</f>
        <v>306</v>
      </c>
      <c r="N3128" s="127">
        <f>IF(M3128=0,0,(M3128/J3128))</f>
        <v>0.24208860759493672</v>
      </c>
    </row>
    <row r="3129" spans="2:14">
      <c r="B3129" s="72">
        <v>127671</v>
      </c>
      <c r="C3129" s="74" t="s">
        <v>1371</v>
      </c>
      <c r="D3129" s="133">
        <f>SUMIF(B$3:B$3844,B3129,M$3:M$3844)/(SUMIF(B$3:B$3844,B3129,J$3:J$3844))</f>
        <v>0.48503479391297699</v>
      </c>
      <c r="E3129" s="47">
        <v>16083325</v>
      </c>
      <c r="F3129" s="48" t="s">
        <v>1379</v>
      </c>
      <c r="G3129" s="47"/>
      <c r="H3129" s="47"/>
      <c r="I3129" s="40"/>
      <c r="J3129" s="40" t="s">
        <v>798</v>
      </c>
      <c r="K3129" s="135"/>
      <c r="L3129" s="136"/>
      <c r="M3129" s="134">
        <f>IF(L3129="",I3129,(MIN(J3129,(L3129*1.6*J3129))))</f>
        <v>0</v>
      </c>
      <c r="N3129" s="127">
        <f>IF(M3129=0,0,(M3129/J3129))</f>
        <v>0</v>
      </c>
    </row>
    <row r="3130" spans="2:14" ht="30">
      <c r="B3130" s="72">
        <v>127671</v>
      </c>
      <c r="C3130" s="74" t="s">
        <v>1371</v>
      </c>
      <c r="D3130" s="133">
        <f>SUMIF(B$3:B$3844,B3130,M$3:M$3844)/(SUMIF(B$3:B$3844,B3130,J$3:J$3844))</f>
        <v>0.48503479391297699</v>
      </c>
      <c r="E3130" s="47">
        <v>35921</v>
      </c>
      <c r="F3130" s="48" t="s">
        <v>1380</v>
      </c>
      <c r="G3130" s="47"/>
      <c r="H3130" s="47"/>
      <c r="I3130" s="40">
        <v>270</v>
      </c>
      <c r="J3130" s="40">
        <v>628</v>
      </c>
      <c r="K3130" s="135"/>
      <c r="L3130" s="136"/>
      <c r="M3130" s="134">
        <f>IF(L3130="",I3130,(MIN(J3130,(L3130*1.6*J3130))))</f>
        <v>270</v>
      </c>
      <c r="N3130" s="127">
        <f>IF(M3130=0,0,(M3130/J3130))</f>
        <v>0.42993630573248409</v>
      </c>
    </row>
    <row r="3131" spans="2:14">
      <c r="B3131" s="72">
        <v>127671</v>
      </c>
      <c r="C3131" s="74" t="s">
        <v>1371</v>
      </c>
      <c r="D3131" s="133">
        <f>SUMIF(B$3:B$3844,B3131,M$3:M$3844)/(SUMIF(B$3:B$3844,B3131,J$3:J$3844))</f>
        <v>0.48503479391297699</v>
      </c>
      <c r="E3131" s="47">
        <v>16036213</v>
      </c>
      <c r="F3131" s="48" t="s">
        <v>932</v>
      </c>
      <c r="G3131" s="47"/>
      <c r="H3131" s="47"/>
      <c r="I3131" s="40">
        <v>327</v>
      </c>
      <c r="J3131" s="40">
        <v>749</v>
      </c>
      <c r="K3131" s="135"/>
      <c r="L3131" s="136"/>
      <c r="M3131" s="134">
        <f>IF(L3131="",I3131,(MIN(J3131,(L3131*1.6*J3131))))</f>
        <v>327</v>
      </c>
      <c r="N3131" s="127">
        <f>IF(M3131=0,0,(M3131/J3131))</f>
        <v>0.43658210947930576</v>
      </c>
    </row>
    <row r="3132" spans="2:14">
      <c r="B3132" s="72">
        <v>127671</v>
      </c>
      <c r="C3132" s="74" t="s">
        <v>1371</v>
      </c>
      <c r="D3132" s="133">
        <f>SUMIF(B$3:B$3844,B3132,M$3:M$3844)/(SUMIF(B$3:B$3844,B3132,J$3:J$3844))</f>
        <v>0.48503479391297699</v>
      </c>
      <c r="E3132" s="47">
        <v>35977</v>
      </c>
      <c r="F3132" s="48" t="s">
        <v>1381</v>
      </c>
      <c r="G3132" s="47"/>
      <c r="H3132" s="47"/>
      <c r="I3132" s="40">
        <v>458</v>
      </c>
      <c r="J3132" s="40">
        <v>786</v>
      </c>
      <c r="K3132" s="135"/>
      <c r="L3132" s="136"/>
      <c r="M3132" s="134">
        <f>IF(L3132="",I3132,(MIN(J3132,(L3132*1.6*J3132))))</f>
        <v>458</v>
      </c>
      <c r="N3132" s="127">
        <f>IF(M3132=0,0,(M3132/J3132))</f>
        <v>0.58269720101781175</v>
      </c>
    </row>
    <row r="3133" spans="2:14">
      <c r="B3133" s="72">
        <v>127671</v>
      </c>
      <c r="C3133" s="74" t="s">
        <v>1371</v>
      </c>
      <c r="D3133" s="133">
        <f>SUMIF(B$3:B$3844,B3133,M$3:M$3844)/(SUMIF(B$3:B$3844,B3133,J$3:J$3844))</f>
        <v>0.48503479391297699</v>
      </c>
      <c r="E3133" s="47">
        <v>35782</v>
      </c>
      <c r="F3133" s="48" t="s">
        <v>1382</v>
      </c>
      <c r="G3133" s="47"/>
      <c r="H3133" s="47"/>
      <c r="I3133" s="40">
        <v>53</v>
      </c>
      <c r="J3133" s="40">
        <v>69</v>
      </c>
      <c r="K3133" s="135"/>
      <c r="L3133" s="136"/>
      <c r="M3133" s="134">
        <f>IF(L3133="",I3133,(MIN(J3133,(L3133*1.6*J3133))))</f>
        <v>53</v>
      </c>
      <c r="N3133" s="127">
        <f>IF(M3133=0,0,(M3133/J3133))</f>
        <v>0.76811594202898548</v>
      </c>
    </row>
    <row r="3134" spans="2:14">
      <c r="B3134" s="72">
        <v>127671</v>
      </c>
      <c r="C3134" s="74" t="s">
        <v>1371</v>
      </c>
      <c r="D3134" s="133">
        <f>SUMIF(B$3:B$3844,B3134,M$3:M$3844)/(SUMIF(B$3:B$3844,B3134,J$3:J$3844))</f>
        <v>0.48503479391297699</v>
      </c>
      <c r="E3134" s="47">
        <v>35860</v>
      </c>
      <c r="F3134" s="48" t="s">
        <v>1383</v>
      </c>
      <c r="G3134" s="47"/>
      <c r="H3134" s="47"/>
      <c r="I3134" s="40">
        <v>588</v>
      </c>
      <c r="J3134" s="40">
        <v>795</v>
      </c>
      <c r="K3134" s="135"/>
      <c r="L3134" s="136"/>
      <c r="M3134" s="134">
        <f>IF(L3134="",I3134,(MIN(J3134,(L3134*1.6*J3134))))</f>
        <v>588</v>
      </c>
      <c r="N3134" s="127">
        <f>IF(M3134=0,0,(M3134/J3134))</f>
        <v>0.73962264150943391</v>
      </c>
    </row>
    <row r="3135" spans="2:14">
      <c r="B3135" s="72">
        <v>127671</v>
      </c>
      <c r="C3135" s="74" t="s">
        <v>1371</v>
      </c>
      <c r="D3135" s="133">
        <f>SUMIF(B$3:B$3844,B3135,M$3:M$3844)/(SUMIF(B$3:B$3844,B3135,J$3:J$3844))</f>
        <v>0.48503479391297699</v>
      </c>
      <c r="E3135" s="47">
        <v>226134</v>
      </c>
      <c r="F3135" s="48" t="s">
        <v>1384</v>
      </c>
      <c r="G3135" s="47"/>
      <c r="H3135" s="47"/>
      <c r="I3135" s="40">
        <v>338</v>
      </c>
      <c r="J3135" s="40">
        <v>918</v>
      </c>
      <c r="K3135" s="135"/>
      <c r="L3135" s="136"/>
      <c r="M3135" s="134">
        <f>IF(L3135="",I3135,(MIN(J3135,(L3135*1.6*J3135))))</f>
        <v>338</v>
      </c>
      <c r="N3135" s="127">
        <f>IF(M3135=0,0,(M3135/J3135))</f>
        <v>0.36819172113289761</v>
      </c>
    </row>
    <row r="3136" spans="2:14">
      <c r="B3136" s="72">
        <v>127671</v>
      </c>
      <c r="C3136" s="74" t="s">
        <v>1371</v>
      </c>
      <c r="D3136" s="133">
        <f>SUMIF(B$3:B$3844,B3136,M$3:M$3844)/(SUMIF(B$3:B$3844,B3136,J$3:J$3844))</f>
        <v>0.48503479391297699</v>
      </c>
      <c r="E3136" s="47">
        <v>35821</v>
      </c>
      <c r="F3136" s="48" t="s">
        <v>1385</v>
      </c>
      <c r="G3136" s="47"/>
      <c r="H3136" s="47"/>
      <c r="I3136" s="40">
        <v>601</v>
      </c>
      <c r="J3136" s="40">
        <v>868</v>
      </c>
      <c r="K3136" s="135"/>
      <c r="L3136" s="136"/>
      <c r="M3136" s="134">
        <f>IF(L3136="",I3136,(MIN(J3136,(L3136*1.6*J3136))))</f>
        <v>601</v>
      </c>
      <c r="N3136" s="127">
        <f>IF(M3136=0,0,(M3136/J3136))</f>
        <v>0.69239631336405527</v>
      </c>
    </row>
    <row r="3137" spans="2:14">
      <c r="B3137" s="72">
        <v>127671</v>
      </c>
      <c r="C3137" s="74" t="s">
        <v>1371</v>
      </c>
      <c r="D3137" s="133">
        <f>SUMIF(B$3:B$3844,B3137,M$3:M$3844)/(SUMIF(B$3:B$3844,B3137,J$3:J$3844))</f>
        <v>0.48503479391297699</v>
      </c>
      <c r="E3137" s="47">
        <v>35861</v>
      </c>
      <c r="F3137" s="48" t="s">
        <v>1386</v>
      </c>
      <c r="G3137" s="47"/>
      <c r="H3137" s="47"/>
      <c r="I3137" s="40">
        <v>280</v>
      </c>
      <c r="J3137" s="40">
        <v>574</v>
      </c>
      <c r="K3137" s="135"/>
      <c r="L3137" s="136"/>
      <c r="M3137" s="134">
        <f>IF(L3137="",I3137,(MIN(J3137,(L3137*1.6*J3137))))</f>
        <v>280</v>
      </c>
      <c r="N3137" s="127">
        <f>IF(M3137=0,0,(M3137/J3137))</f>
        <v>0.48780487804878048</v>
      </c>
    </row>
    <row r="3138" spans="2:14">
      <c r="B3138" s="84">
        <v>127671</v>
      </c>
      <c r="C3138" s="77" t="s">
        <v>1371</v>
      </c>
      <c r="D3138" s="133">
        <f>SUMIF(B$3:B$3844,B3138,M$3:M$3844)/(SUMIF(B$3:B$3844,B3138,J$3:J$3844))</f>
        <v>0.48503479391297699</v>
      </c>
      <c r="E3138" s="77">
        <v>35925</v>
      </c>
      <c r="F3138" s="78" t="s">
        <v>1387</v>
      </c>
      <c r="G3138" s="77"/>
      <c r="H3138" s="77"/>
      <c r="I3138" s="79">
        <v>540</v>
      </c>
      <c r="J3138" s="79">
        <v>855</v>
      </c>
      <c r="K3138" s="137"/>
      <c r="L3138" s="138"/>
      <c r="M3138" s="134">
        <f>IF(L3138="",I3138,(MIN(J3138,(L3138*1.6*J3138))))</f>
        <v>540</v>
      </c>
      <c r="N3138" s="127">
        <f>IF(M3138=0,0,(M3138/J3138))</f>
        <v>0.63157894736842102</v>
      </c>
    </row>
    <row r="3139" spans="2:14">
      <c r="B3139" s="72">
        <v>127671</v>
      </c>
      <c r="C3139" s="47" t="s">
        <v>1371</v>
      </c>
      <c r="D3139" s="133">
        <f>SUMIF(B$3:B$3844,B3139,M$3:M$3844)/(SUMIF(B$3:B$3844,B3139,J$3:J$3844))</f>
        <v>0.48503479391297699</v>
      </c>
      <c r="E3139" s="47">
        <v>35872</v>
      </c>
      <c r="F3139" s="48" t="s">
        <v>1388</v>
      </c>
      <c r="G3139" s="47"/>
      <c r="H3139" s="47"/>
      <c r="I3139" s="40">
        <v>601</v>
      </c>
      <c r="J3139" s="40">
        <v>983</v>
      </c>
      <c r="K3139" s="118"/>
      <c r="L3139" s="119"/>
      <c r="M3139" s="134">
        <f>IF(L3139="",I3139,(MIN(J3139,(L3139*1.6*J3139))))</f>
        <v>601</v>
      </c>
      <c r="N3139" s="127">
        <f>IF(M3139=0,0,(M3139/J3139))</f>
        <v>0.61139369277721256</v>
      </c>
    </row>
    <row r="3140" spans="2:14">
      <c r="B3140" s="72">
        <v>127671</v>
      </c>
      <c r="C3140" s="47" t="s">
        <v>1371</v>
      </c>
      <c r="D3140" s="133">
        <f>SUMIF(B$3:B$3844,B3140,M$3:M$3844)/(SUMIF(B$3:B$3844,B3140,J$3:J$3844))</f>
        <v>0.48503479391297699</v>
      </c>
      <c r="E3140" s="47">
        <v>16027172</v>
      </c>
      <c r="F3140" s="48" t="s">
        <v>1389</v>
      </c>
      <c r="G3140" s="47"/>
      <c r="H3140" s="47"/>
      <c r="I3140" s="40">
        <v>476</v>
      </c>
      <c r="J3140" s="40">
        <v>2238</v>
      </c>
      <c r="K3140" s="118"/>
      <c r="L3140" s="119"/>
      <c r="M3140" s="134">
        <f>IF(L3140="",I3140,(MIN(J3140,(L3140*1.6*J3140))))</f>
        <v>476</v>
      </c>
      <c r="N3140" s="127">
        <f>IF(M3140=0,0,(M3140/J3140))</f>
        <v>0.21268990169794461</v>
      </c>
    </row>
    <row r="3141" spans="2:14">
      <c r="B3141" s="72">
        <v>127671</v>
      </c>
      <c r="C3141" s="47" t="s">
        <v>1371</v>
      </c>
      <c r="D3141" s="133">
        <f>SUMIF(B$3:B$3844,B3141,M$3:M$3844)/(SUMIF(B$3:B$3844,B3141,J$3:J$3844))</f>
        <v>0.48503479391297699</v>
      </c>
      <c r="E3141" s="47">
        <v>35922</v>
      </c>
      <c r="F3141" s="48" t="s">
        <v>1390</v>
      </c>
      <c r="G3141" s="47"/>
      <c r="H3141" s="47"/>
      <c r="I3141" s="40">
        <v>582</v>
      </c>
      <c r="J3141" s="40">
        <v>632</v>
      </c>
      <c r="K3141" s="118"/>
      <c r="L3141" s="119"/>
      <c r="M3141" s="134">
        <f>IF(L3141="",I3141,(MIN(J3141,(L3141*1.6*J3141))))</f>
        <v>582</v>
      </c>
      <c r="N3141" s="127">
        <f>IF(M3141=0,0,(M3141/J3141))</f>
        <v>0.92088607594936711</v>
      </c>
    </row>
    <row r="3142" spans="2:14">
      <c r="B3142" s="72">
        <v>127671</v>
      </c>
      <c r="C3142" s="47" t="s">
        <v>1371</v>
      </c>
      <c r="D3142" s="133">
        <f>SUMIF(B$3:B$3844,B3142,M$3:M$3844)/(SUMIF(B$3:B$3844,B3142,J$3:J$3844))</f>
        <v>0.48503479391297699</v>
      </c>
      <c r="E3142" s="47">
        <v>35874</v>
      </c>
      <c r="F3142" s="48" t="s">
        <v>1391</v>
      </c>
      <c r="G3142" s="47"/>
      <c r="H3142" s="47"/>
      <c r="I3142" s="40">
        <v>124</v>
      </c>
      <c r="J3142" s="40">
        <v>824</v>
      </c>
      <c r="K3142" s="118"/>
      <c r="L3142" s="119"/>
      <c r="M3142" s="134">
        <f>IF(L3142="",I3142,(MIN(J3142,(L3142*1.6*J3142))))</f>
        <v>124</v>
      </c>
      <c r="N3142" s="127">
        <f>IF(M3142=0,0,(M3142/J3142))</f>
        <v>0.15048543689320387</v>
      </c>
    </row>
    <row r="3143" spans="2:14">
      <c r="B3143" s="72">
        <v>127671</v>
      </c>
      <c r="C3143" s="47" t="s">
        <v>1371</v>
      </c>
      <c r="D3143" s="133">
        <f>SUMIF(B$3:B$3844,B3143,M$3:M$3844)/(SUMIF(B$3:B$3844,B3143,J$3:J$3844))</f>
        <v>0.48503479391297699</v>
      </c>
      <c r="E3143" s="47">
        <v>35803</v>
      </c>
      <c r="F3143" s="48" t="s">
        <v>672</v>
      </c>
      <c r="G3143" s="47"/>
      <c r="H3143" s="47"/>
      <c r="I3143" s="40">
        <v>423</v>
      </c>
      <c r="J3143" s="40">
        <v>656</v>
      </c>
      <c r="K3143" s="118"/>
      <c r="L3143" s="119"/>
      <c r="M3143" s="134">
        <f>IF(L3143="",I3143,(MIN(J3143,(L3143*1.6*J3143))))</f>
        <v>423</v>
      </c>
      <c r="N3143" s="127">
        <f>IF(M3143=0,0,(M3143/J3143))</f>
        <v>0.64481707317073167</v>
      </c>
    </row>
    <row r="3144" spans="2:14">
      <c r="B3144" s="72">
        <v>127671</v>
      </c>
      <c r="C3144" s="47" t="s">
        <v>1371</v>
      </c>
      <c r="D3144" s="133">
        <f>SUMIF(B$3:B$3844,B3144,M$3:M$3844)/(SUMIF(B$3:B$3844,B3144,J$3:J$3844))</f>
        <v>0.48503479391297699</v>
      </c>
      <c r="E3144" s="47">
        <v>35924</v>
      </c>
      <c r="F3144" s="48" t="s">
        <v>1392</v>
      </c>
      <c r="G3144" s="47"/>
      <c r="H3144" s="47"/>
      <c r="I3144" s="40">
        <v>19</v>
      </c>
      <c r="J3144" s="40">
        <v>22</v>
      </c>
      <c r="K3144" s="118"/>
      <c r="L3144" s="119"/>
      <c r="M3144" s="134">
        <f>IF(L3144="",I3144,(MIN(J3144,(L3144*1.6*J3144))))</f>
        <v>19</v>
      </c>
      <c r="N3144" s="127">
        <f>IF(M3144=0,0,(M3144/J3144))</f>
        <v>0.86363636363636365</v>
      </c>
    </row>
    <row r="3145" spans="2:14">
      <c r="B3145" s="72">
        <v>127671</v>
      </c>
      <c r="C3145" s="47" t="s">
        <v>1371</v>
      </c>
      <c r="D3145" s="133">
        <f>SUMIF(B$3:B$3844,B3145,M$3:M$3844)/(SUMIF(B$3:B$3844,B3145,J$3:J$3844))</f>
        <v>0.48503479391297699</v>
      </c>
      <c r="E3145" s="47">
        <v>35927</v>
      </c>
      <c r="F3145" s="48" t="s">
        <v>1393</v>
      </c>
      <c r="G3145" s="47"/>
      <c r="H3145" s="47"/>
      <c r="I3145" s="40">
        <v>8</v>
      </c>
      <c r="J3145" s="40">
        <v>31</v>
      </c>
      <c r="K3145" s="118"/>
      <c r="L3145" s="119"/>
      <c r="M3145" s="134">
        <f>IF(L3145="",I3145,(MIN(J3145,(L3145*1.6*J3145))))</f>
        <v>8</v>
      </c>
      <c r="N3145" s="127">
        <f>IF(M3145=0,0,(M3145/J3145))</f>
        <v>0.25806451612903225</v>
      </c>
    </row>
    <row r="3146" spans="2:14">
      <c r="B3146" s="72">
        <v>127671</v>
      </c>
      <c r="C3146" s="47" t="s">
        <v>1371</v>
      </c>
      <c r="D3146" s="133">
        <f>SUMIF(B$3:B$3844,B3146,M$3:M$3844)/(SUMIF(B$3:B$3844,B3146,J$3:J$3844))</f>
        <v>0.48503479391297699</v>
      </c>
      <c r="E3146" s="47">
        <v>35929</v>
      </c>
      <c r="F3146" s="48" t="s">
        <v>1394</v>
      </c>
      <c r="G3146" s="47"/>
      <c r="H3146" s="47"/>
      <c r="I3146" s="40">
        <v>640</v>
      </c>
      <c r="J3146" s="40">
        <v>789</v>
      </c>
      <c r="K3146" s="118"/>
      <c r="L3146" s="119"/>
      <c r="M3146" s="134">
        <f>IF(L3146="",I3146,(MIN(J3146,(L3146*1.6*J3146))))</f>
        <v>640</v>
      </c>
      <c r="N3146" s="127">
        <f>IF(M3146=0,0,(M3146/J3146))</f>
        <v>0.81115335868187577</v>
      </c>
    </row>
    <row r="3147" spans="2:14">
      <c r="B3147" s="72">
        <v>127671</v>
      </c>
      <c r="C3147" s="47" t="s">
        <v>1371</v>
      </c>
      <c r="D3147" s="133">
        <f>SUMIF(B$3:B$3844,B3147,M$3:M$3844)/(SUMIF(B$3:B$3844,B3147,J$3:J$3844))</f>
        <v>0.48503479391297699</v>
      </c>
      <c r="E3147" s="47">
        <v>35806</v>
      </c>
      <c r="F3147" s="48" t="s">
        <v>1395</v>
      </c>
      <c r="G3147" s="47"/>
      <c r="H3147" s="47"/>
      <c r="I3147" s="40">
        <v>465</v>
      </c>
      <c r="J3147" s="40">
        <v>1141</v>
      </c>
      <c r="K3147" s="118"/>
      <c r="L3147" s="119"/>
      <c r="M3147" s="134">
        <f>IF(L3147="",I3147,(MIN(J3147,(L3147*1.6*J3147))))</f>
        <v>465</v>
      </c>
      <c r="N3147" s="127">
        <f>IF(M3147=0,0,(M3147/J3147))</f>
        <v>0.40753724802804558</v>
      </c>
    </row>
    <row r="3148" spans="2:14">
      <c r="B3148" s="72">
        <v>127671</v>
      </c>
      <c r="C3148" s="47" t="s">
        <v>1371</v>
      </c>
      <c r="D3148" s="133">
        <f>SUMIF(B$3:B$3844,B3148,M$3:M$3844)/(SUMIF(B$3:B$3844,B3148,J$3:J$3844))</f>
        <v>0.48503479391297699</v>
      </c>
      <c r="E3148" s="47">
        <v>35911</v>
      </c>
      <c r="F3148" s="48" t="s">
        <v>1396</v>
      </c>
      <c r="G3148" s="47"/>
      <c r="H3148" s="47"/>
      <c r="I3148" s="40">
        <v>398</v>
      </c>
      <c r="J3148" s="40">
        <v>1239</v>
      </c>
      <c r="K3148" s="118"/>
      <c r="L3148" s="119"/>
      <c r="M3148" s="134">
        <f>IF(L3148="",I3148,(MIN(J3148,(L3148*1.6*J3148))))</f>
        <v>398</v>
      </c>
      <c r="N3148" s="127">
        <f>IF(M3148=0,0,(M3148/J3148))</f>
        <v>0.32122679580306701</v>
      </c>
    </row>
    <row r="3149" spans="2:14">
      <c r="B3149" s="72">
        <v>127671</v>
      </c>
      <c r="C3149" s="47" t="s">
        <v>1371</v>
      </c>
      <c r="D3149" s="133">
        <f>SUMIF(B$3:B$3844,B3149,M$3:M$3844)/(SUMIF(B$3:B$3844,B3149,J$3:J$3844))</f>
        <v>0.48503479391297699</v>
      </c>
      <c r="E3149" s="47">
        <v>213481</v>
      </c>
      <c r="F3149" s="48" t="s">
        <v>1397</v>
      </c>
      <c r="G3149" s="47"/>
      <c r="H3149" s="47"/>
      <c r="I3149" s="40"/>
      <c r="J3149" s="40" t="s">
        <v>798</v>
      </c>
      <c r="K3149" s="118"/>
      <c r="L3149" s="119"/>
      <c r="M3149" s="134">
        <f>IF(L3149="",I3149,(MIN(J3149,(L3149*1.6*J3149))))</f>
        <v>0</v>
      </c>
      <c r="N3149" s="127">
        <f>IF(M3149=0,0,(M3149/J3149))</f>
        <v>0</v>
      </c>
    </row>
    <row r="3150" spans="2:14">
      <c r="B3150" s="72">
        <v>127671</v>
      </c>
      <c r="C3150" s="47" t="s">
        <v>1371</v>
      </c>
      <c r="D3150" s="133">
        <f>SUMIF(B$3:B$3844,B3150,M$3:M$3844)/(SUMIF(B$3:B$3844,B3150,J$3:J$3844))</f>
        <v>0.48503479391297699</v>
      </c>
      <c r="E3150" s="47">
        <v>16058909</v>
      </c>
      <c r="F3150" s="48" t="s">
        <v>1398</v>
      </c>
      <c r="G3150" s="47"/>
      <c r="H3150" s="47"/>
      <c r="I3150" s="40">
        <v>107</v>
      </c>
      <c r="J3150" s="40">
        <v>130</v>
      </c>
      <c r="K3150" s="118"/>
      <c r="L3150" s="119"/>
      <c r="M3150" s="134">
        <f>IF(L3150="",I3150,(MIN(J3150,(L3150*1.6*J3150))))</f>
        <v>107</v>
      </c>
      <c r="N3150" s="127">
        <f>IF(M3150=0,0,(M3150/J3150))</f>
        <v>0.82307692307692304</v>
      </c>
    </row>
    <row r="3151" spans="2:14">
      <c r="B3151" s="72">
        <v>127671</v>
      </c>
      <c r="C3151" s="47" t="s">
        <v>1371</v>
      </c>
      <c r="D3151" s="133">
        <f>SUMIF(B$3:B$3844,B3151,M$3:M$3844)/(SUMIF(B$3:B$3844,B3151,J$3:J$3844))</f>
        <v>0.48503479391297699</v>
      </c>
      <c r="E3151" s="47">
        <v>35807</v>
      </c>
      <c r="F3151" s="48" t="s">
        <v>1399</v>
      </c>
      <c r="G3151" s="47"/>
      <c r="H3151" s="47"/>
      <c r="I3151" s="40">
        <v>190</v>
      </c>
      <c r="J3151" s="40">
        <v>696</v>
      </c>
      <c r="K3151" s="118"/>
      <c r="L3151" s="119"/>
      <c r="M3151" s="134">
        <f>IF(L3151="",I3151,(MIN(J3151,(L3151*1.6*J3151))))</f>
        <v>190</v>
      </c>
      <c r="N3151" s="127">
        <f>IF(M3151=0,0,(M3151/J3151))</f>
        <v>0.27298850574712646</v>
      </c>
    </row>
    <row r="3152" spans="2:14">
      <c r="B3152" s="72">
        <v>127671</v>
      </c>
      <c r="C3152" s="47" t="s">
        <v>1371</v>
      </c>
      <c r="D3152" s="133">
        <f>SUMIF(B$3:B$3844,B3152,M$3:M$3844)/(SUMIF(B$3:B$3844,B3152,J$3:J$3844))</f>
        <v>0.48503479391297699</v>
      </c>
      <c r="E3152" s="47">
        <v>35822</v>
      </c>
      <c r="F3152" s="48" t="s">
        <v>1400</v>
      </c>
      <c r="G3152" s="47"/>
      <c r="H3152" s="47"/>
      <c r="I3152" s="40">
        <v>1188</v>
      </c>
      <c r="J3152" s="40">
        <v>2803</v>
      </c>
      <c r="K3152" s="118"/>
      <c r="L3152" s="119"/>
      <c r="M3152" s="134">
        <f>IF(L3152="",I3152,(MIN(J3152,(L3152*1.6*J3152))))</f>
        <v>1188</v>
      </c>
      <c r="N3152" s="127">
        <f>IF(M3152=0,0,(M3152/J3152))</f>
        <v>0.42383160899036748</v>
      </c>
    </row>
    <row r="3153" spans="2:14">
      <c r="B3153" s="72">
        <v>127671</v>
      </c>
      <c r="C3153" s="47" t="s">
        <v>1371</v>
      </c>
      <c r="D3153" s="133">
        <f>SUMIF(B$3:B$3844,B3153,M$3:M$3844)/(SUMIF(B$3:B$3844,B3153,J$3:J$3844))</f>
        <v>0.48503479391297699</v>
      </c>
      <c r="E3153" s="47">
        <v>35970</v>
      </c>
      <c r="F3153" s="48" t="s">
        <v>1401</v>
      </c>
      <c r="G3153" s="47"/>
      <c r="H3153" s="47"/>
      <c r="I3153" s="40">
        <v>1095</v>
      </c>
      <c r="J3153" s="40">
        <v>2236</v>
      </c>
      <c r="K3153" s="118"/>
      <c r="L3153" s="119"/>
      <c r="M3153" s="134">
        <f>IF(L3153="",I3153,(MIN(J3153,(L3153*1.6*J3153))))</f>
        <v>1095</v>
      </c>
      <c r="N3153" s="127">
        <f>IF(M3153=0,0,(M3153/J3153))</f>
        <v>0.48971377459749554</v>
      </c>
    </row>
    <row r="3154" spans="2:14">
      <c r="B3154" s="72">
        <v>127671</v>
      </c>
      <c r="C3154" s="47" t="s">
        <v>1371</v>
      </c>
      <c r="D3154" s="133">
        <f>SUMIF(B$3:B$3844,B3154,M$3:M$3844)/(SUMIF(B$3:B$3844,B3154,J$3:J$3844))</f>
        <v>0.48503479391297699</v>
      </c>
      <c r="E3154" s="47">
        <v>35870</v>
      </c>
      <c r="F3154" s="48" t="s">
        <v>1402</v>
      </c>
      <c r="G3154" s="47"/>
      <c r="H3154" s="47"/>
      <c r="I3154" s="40">
        <v>540</v>
      </c>
      <c r="J3154" s="40">
        <v>980</v>
      </c>
      <c r="K3154" s="118"/>
      <c r="L3154" s="119"/>
      <c r="M3154" s="134">
        <f>IF(L3154="",I3154,(MIN(J3154,(L3154*1.6*J3154))))</f>
        <v>540</v>
      </c>
      <c r="N3154" s="127">
        <f>IF(M3154=0,0,(M3154/J3154))</f>
        <v>0.55102040816326525</v>
      </c>
    </row>
    <row r="3155" spans="2:14">
      <c r="B3155" s="72">
        <v>127671</v>
      </c>
      <c r="C3155" s="47" t="s">
        <v>1371</v>
      </c>
      <c r="D3155" s="133">
        <f>SUMIF(B$3:B$3844,B3155,M$3:M$3844)/(SUMIF(B$3:B$3844,B3155,J$3:J$3844))</f>
        <v>0.48503479391297699</v>
      </c>
      <c r="E3155" s="47">
        <v>35871</v>
      </c>
      <c r="F3155" s="48" t="s">
        <v>1403</v>
      </c>
      <c r="G3155" s="47"/>
      <c r="H3155" s="47"/>
      <c r="I3155" s="40">
        <v>1145</v>
      </c>
      <c r="J3155" s="40">
        <v>2874</v>
      </c>
      <c r="K3155" s="118"/>
      <c r="L3155" s="119"/>
      <c r="M3155" s="134">
        <f>IF(L3155="",I3155,(MIN(J3155,(L3155*1.6*J3155))))</f>
        <v>1145</v>
      </c>
      <c r="N3155" s="127">
        <f>IF(M3155=0,0,(M3155/J3155))</f>
        <v>0.39839944328462074</v>
      </c>
    </row>
    <row r="3156" spans="2:14">
      <c r="B3156" s="72">
        <v>127671</v>
      </c>
      <c r="C3156" s="47" t="s">
        <v>1371</v>
      </c>
      <c r="D3156" s="133">
        <f>SUMIF(B$3:B$3844,B3156,M$3:M$3844)/(SUMIF(B$3:B$3844,B3156,J$3:J$3844))</f>
        <v>0.48503479391297699</v>
      </c>
      <c r="E3156" s="47">
        <v>35784</v>
      </c>
      <c r="F3156" s="48" t="s">
        <v>1404</v>
      </c>
      <c r="G3156" s="47"/>
      <c r="H3156" s="47"/>
      <c r="I3156" s="40">
        <v>568</v>
      </c>
      <c r="J3156" s="40">
        <v>737</v>
      </c>
      <c r="K3156" s="118"/>
      <c r="L3156" s="119"/>
      <c r="M3156" s="134">
        <f>IF(L3156="",I3156,(MIN(J3156,(L3156*1.6*J3156))))</f>
        <v>568</v>
      </c>
      <c r="N3156" s="127">
        <f>IF(M3156=0,0,(M3156/J3156))</f>
        <v>0.77069199457259163</v>
      </c>
    </row>
    <row r="3157" spans="2:14">
      <c r="B3157" s="72">
        <v>127671</v>
      </c>
      <c r="C3157" s="47" t="s">
        <v>1371</v>
      </c>
      <c r="D3157" s="133">
        <f>SUMIF(B$3:B$3844,B3157,M$3:M$3844)/(SUMIF(B$3:B$3844,B3157,J$3:J$3844))</f>
        <v>0.48503479391297699</v>
      </c>
      <c r="E3157" s="47">
        <v>35914</v>
      </c>
      <c r="F3157" s="48" t="s">
        <v>1405</v>
      </c>
      <c r="G3157" s="47"/>
      <c r="H3157" s="47"/>
      <c r="I3157" s="40">
        <v>221</v>
      </c>
      <c r="J3157" s="40">
        <v>810</v>
      </c>
      <c r="K3157" s="118"/>
      <c r="L3157" s="119"/>
      <c r="M3157" s="134">
        <f>IF(L3157="",I3157,(MIN(J3157,(L3157*1.6*J3157))))</f>
        <v>221</v>
      </c>
      <c r="N3157" s="127">
        <f>IF(M3157=0,0,(M3157/J3157))</f>
        <v>0.27283950617283953</v>
      </c>
    </row>
    <row r="3158" spans="2:14">
      <c r="B3158" s="72">
        <v>127671</v>
      </c>
      <c r="C3158" s="47" t="s">
        <v>1371</v>
      </c>
      <c r="D3158" s="133">
        <f>SUMIF(B$3:B$3844,B3158,M$3:M$3844)/(SUMIF(B$3:B$3844,B3158,J$3:J$3844))</f>
        <v>0.48503479391297699</v>
      </c>
      <c r="E3158" s="47">
        <v>16023494</v>
      </c>
      <c r="F3158" s="48" t="s">
        <v>1406</v>
      </c>
      <c r="G3158" s="47"/>
      <c r="H3158" s="47"/>
      <c r="I3158" s="40">
        <v>423</v>
      </c>
      <c r="J3158" s="40">
        <v>665</v>
      </c>
      <c r="K3158" s="118"/>
      <c r="L3158" s="119"/>
      <c r="M3158" s="134">
        <f>IF(L3158="",I3158,(MIN(J3158,(L3158*1.6*J3158))))</f>
        <v>423</v>
      </c>
      <c r="N3158" s="127">
        <f>IF(M3158=0,0,(M3158/J3158))</f>
        <v>0.63609022556390982</v>
      </c>
    </row>
    <row r="3159" spans="2:14">
      <c r="B3159" s="72">
        <v>127671</v>
      </c>
      <c r="C3159" s="47" t="s">
        <v>1371</v>
      </c>
      <c r="D3159" s="133">
        <f>SUMIF(B$3:B$3844,B3159,M$3:M$3844)/(SUMIF(B$3:B$3844,B3159,J$3:J$3844))</f>
        <v>0.48503479391297699</v>
      </c>
      <c r="E3159" s="47">
        <v>35875</v>
      </c>
      <c r="F3159" s="48" t="s">
        <v>1407</v>
      </c>
      <c r="G3159" s="47"/>
      <c r="H3159" s="47"/>
      <c r="I3159" s="40">
        <v>1303</v>
      </c>
      <c r="J3159" s="40">
        <v>2651</v>
      </c>
      <c r="K3159" s="118"/>
      <c r="L3159" s="119"/>
      <c r="M3159" s="134">
        <f>IF(L3159="",I3159,(MIN(J3159,(L3159*1.6*J3159))))</f>
        <v>1303</v>
      </c>
      <c r="N3159" s="127">
        <f>IF(M3159=0,0,(M3159/J3159))</f>
        <v>0.49151263674085249</v>
      </c>
    </row>
    <row r="3160" spans="2:14">
      <c r="B3160" s="72">
        <v>127671</v>
      </c>
      <c r="C3160" s="47" t="s">
        <v>1371</v>
      </c>
      <c r="D3160" s="133">
        <f>SUMIF(B$3:B$3844,B3160,M$3:M$3844)/(SUMIF(B$3:B$3844,B3160,J$3:J$3844))</f>
        <v>0.48503479391297699</v>
      </c>
      <c r="E3160" s="47">
        <v>16036202</v>
      </c>
      <c r="F3160" s="48" t="s">
        <v>1408</v>
      </c>
      <c r="G3160" s="47"/>
      <c r="H3160" s="47"/>
      <c r="I3160" s="40">
        <v>472</v>
      </c>
      <c r="J3160" s="40">
        <v>1175</v>
      </c>
      <c r="K3160" s="118"/>
      <c r="L3160" s="119"/>
      <c r="M3160" s="134">
        <f>IF(L3160="",I3160,(MIN(J3160,(L3160*1.6*J3160))))</f>
        <v>472</v>
      </c>
      <c r="N3160" s="127">
        <f>IF(M3160=0,0,(M3160/J3160))</f>
        <v>0.40170212765957447</v>
      </c>
    </row>
    <row r="3161" spans="2:14">
      <c r="B3161" s="72">
        <v>127671</v>
      </c>
      <c r="C3161" s="47" t="s">
        <v>1371</v>
      </c>
      <c r="D3161" s="133">
        <f>SUMIF(B$3:B$3844,B3161,M$3:M$3844)/(SUMIF(B$3:B$3844,B3161,J$3:J$3844))</f>
        <v>0.48503479391297699</v>
      </c>
      <c r="E3161" s="47">
        <v>35931</v>
      </c>
      <c r="F3161" s="48" t="s">
        <v>1409</v>
      </c>
      <c r="G3161" s="47"/>
      <c r="H3161" s="47"/>
      <c r="I3161" s="40">
        <v>707</v>
      </c>
      <c r="J3161" s="40">
        <v>871</v>
      </c>
      <c r="K3161" s="118"/>
      <c r="L3161" s="119"/>
      <c r="M3161" s="134">
        <f>IF(L3161="",I3161,(MIN(J3161,(L3161*1.6*J3161))))</f>
        <v>707</v>
      </c>
      <c r="N3161" s="127">
        <f>IF(M3161=0,0,(M3161/J3161))</f>
        <v>0.81171067738231917</v>
      </c>
    </row>
    <row r="3162" spans="2:14">
      <c r="B3162" s="72">
        <v>127671</v>
      </c>
      <c r="C3162" s="47" t="s">
        <v>1371</v>
      </c>
      <c r="D3162" s="133">
        <f>SUMIF(B$3:B$3844,B3162,M$3:M$3844)/(SUMIF(B$3:B$3844,B3162,J$3:J$3844))</f>
        <v>0.48503479391297699</v>
      </c>
      <c r="E3162" s="47">
        <v>17002425</v>
      </c>
      <c r="F3162" s="48" t="s">
        <v>1410</v>
      </c>
      <c r="G3162" s="47"/>
      <c r="H3162" s="47"/>
      <c r="I3162" s="40"/>
      <c r="J3162" s="40">
        <v>0</v>
      </c>
      <c r="K3162" s="118"/>
      <c r="L3162" s="119"/>
      <c r="M3162" s="134">
        <f>IF(L3162="",I3162,(MIN(J3162,(L3162*1.6*J3162))))</f>
        <v>0</v>
      </c>
      <c r="N3162" s="127">
        <f>IF(M3162=0,0,(M3162/J3162))</f>
        <v>0</v>
      </c>
    </row>
    <row r="3163" spans="2:14">
      <c r="B3163" s="72">
        <v>127671</v>
      </c>
      <c r="C3163" s="47" t="s">
        <v>1371</v>
      </c>
      <c r="D3163" s="133">
        <f>SUMIF(B$3:B$3844,B3163,M$3:M$3844)/(SUMIF(B$3:B$3844,B3163,J$3:J$3844))</f>
        <v>0.48503479391297699</v>
      </c>
      <c r="E3163" s="47">
        <v>35936</v>
      </c>
      <c r="F3163" s="48" t="s">
        <v>130</v>
      </c>
      <c r="G3163" s="47"/>
      <c r="H3163" s="47"/>
      <c r="I3163" s="40">
        <v>998</v>
      </c>
      <c r="J3163" s="40">
        <v>1560</v>
      </c>
      <c r="K3163" s="118"/>
      <c r="L3163" s="119"/>
      <c r="M3163" s="134">
        <f>IF(L3163="",I3163,(MIN(J3163,(L3163*1.6*J3163))))</f>
        <v>998</v>
      </c>
      <c r="N3163" s="127">
        <f>IF(M3163=0,0,(M3163/J3163))</f>
        <v>0.63974358974358969</v>
      </c>
    </row>
    <row r="3164" spans="2:14">
      <c r="B3164" s="72">
        <v>127671</v>
      </c>
      <c r="C3164" s="47" t="s">
        <v>1371</v>
      </c>
      <c r="D3164" s="133">
        <f>SUMIF(B$3:B$3844,B3164,M$3:M$3844)/(SUMIF(B$3:B$3844,B3164,J$3:J$3844))</f>
        <v>0.48503479391297699</v>
      </c>
      <c r="E3164" s="47">
        <v>35880</v>
      </c>
      <c r="F3164" s="48" t="s">
        <v>1411</v>
      </c>
      <c r="G3164" s="47"/>
      <c r="H3164" s="47"/>
      <c r="I3164" s="40">
        <v>824</v>
      </c>
      <c r="J3164" s="40">
        <v>1393</v>
      </c>
      <c r="K3164" s="118"/>
      <c r="L3164" s="119"/>
      <c r="M3164" s="134">
        <f>IF(L3164="",I3164,(MIN(J3164,(L3164*1.6*J3164))))</f>
        <v>824</v>
      </c>
      <c r="N3164" s="127">
        <f>IF(M3164=0,0,(M3164/J3164))</f>
        <v>0.5915290739411343</v>
      </c>
    </row>
    <row r="3165" spans="2:14">
      <c r="B3165" s="72">
        <v>127671</v>
      </c>
      <c r="C3165" s="47" t="s">
        <v>1371</v>
      </c>
      <c r="D3165" s="133">
        <f>SUMIF(B$3:B$3844,B3165,M$3:M$3844)/(SUMIF(B$3:B$3844,B3165,J$3:J$3844))</f>
        <v>0.48503479391297699</v>
      </c>
      <c r="E3165" s="47">
        <v>35907</v>
      </c>
      <c r="F3165" s="48" t="s">
        <v>1412</v>
      </c>
      <c r="G3165" s="47"/>
      <c r="H3165" s="47"/>
      <c r="I3165" s="40">
        <v>812</v>
      </c>
      <c r="J3165" s="40">
        <v>2454</v>
      </c>
      <c r="K3165" s="118"/>
      <c r="L3165" s="119"/>
      <c r="M3165" s="134">
        <f>IF(L3165="",I3165,(MIN(J3165,(L3165*1.6*J3165))))</f>
        <v>812</v>
      </c>
      <c r="N3165" s="127">
        <f>IF(M3165=0,0,(M3165/J3165))</f>
        <v>0.33088834555827223</v>
      </c>
    </row>
    <row r="3166" spans="2:14">
      <c r="B3166" s="72">
        <v>127671</v>
      </c>
      <c r="C3166" s="47" t="s">
        <v>1371</v>
      </c>
      <c r="D3166" s="133">
        <f>SUMIF(B$3:B$3844,B3166,M$3:M$3844)/(SUMIF(B$3:B$3844,B3166,J$3:J$3844))</f>
        <v>0.48503479391297699</v>
      </c>
      <c r="E3166" s="47">
        <v>35915</v>
      </c>
      <c r="F3166" s="48" t="s">
        <v>1413</v>
      </c>
      <c r="G3166" s="47"/>
      <c r="H3166" s="47"/>
      <c r="I3166" s="40">
        <v>176</v>
      </c>
      <c r="J3166" s="40">
        <v>750</v>
      </c>
      <c r="K3166" s="118"/>
      <c r="L3166" s="119"/>
      <c r="M3166" s="134">
        <f>IF(L3166="",I3166,(MIN(J3166,(L3166*1.6*J3166))))</f>
        <v>176</v>
      </c>
      <c r="N3166" s="127">
        <f>IF(M3166=0,0,(M3166/J3166))</f>
        <v>0.23466666666666666</v>
      </c>
    </row>
    <row r="3167" spans="2:14">
      <c r="B3167" s="72">
        <v>127671</v>
      </c>
      <c r="C3167" s="47" t="s">
        <v>1371</v>
      </c>
      <c r="D3167" s="133">
        <f>SUMIF(B$3:B$3844,B3167,M$3:M$3844)/(SUMIF(B$3:B$3844,B3167,J$3:J$3844))</f>
        <v>0.48503479391297699</v>
      </c>
      <c r="E3167" s="47">
        <v>35935</v>
      </c>
      <c r="F3167" s="48" t="s">
        <v>1414</v>
      </c>
      <c r="G3167" s="47"/>
      <c r="H3167" s="47"/>
      <c r="I3167" s="40">
        <v>733</v>
      </c>
      <c r="J3167" s="40">
        <v>812</v>
      </c>
      <c r="K3167" s="118"/>
      <c r="L3167" s="119"/>
      <c r="M3167" s="134">
        <f>IF(L3167="",I3167,(MIN(J3167,(L3167*1.6*J3167))))</f>
        <v>733</v>
      </c>
      <c r="N3167" s="127">
        <f>IF(M3167=0,0,(M3167/J3167))</f>
        <v>0.90270935960591137</v>
      </c>
    </row>
    <row r="3168" spans="2:14">
      <c r="B3168" s="72">
        <v>127671</v>
      </c>
      <c r="C3168" s="47" t="s">
        <v>1371</v>
      </c>
      <c r="D3168" s="133">
        <f>SUMIF(B$3:B$3844,B3168,M$3:M$3844)/(SUMIF(B$3:B$3844,B3168,J$3:J$3844))</f>
        <v>0.48503479391297699</v>
      </c>
      <c r="E3168" s="47">
        <v>35808</v>
      </c>
      <c r="F3168" s="48" t="s">
        <v>1415</v>
      </c>
      <c r="G3168" s="47"/>
      <c r="H3168" s="47"/>
      <c r="I3168" s="40">
        <v>289</v>
      </c>
      <c r="J3168" s="40">
        <v>776</v>
      </c>
      <c r="K3168" s="118"/>
      <c r="L3168" s="119"/>
      <c r="M3168" s="134">
        <f>IF(L3168="",I3168,(MIN(J3168,(L3168*1.6*J3168))))</f>
        <v>289</v>
      </c>
      <c r="N3168" s="127">
        <f>IF(M3168=0,0,(M3168/J3168))</f>
        <v>0.37242268041237114</v>
      </c>
    </row>
    <row r="3169" spans="2:14">
      <c r="B3169" s="72">
        <v>127671</v>
      </c>
      <c r="C3169" s="47" t="s">
        <v>1371</v>
      </c>
      <c r="D3169" s="133">
        <f>SUMIF(B$3:B$3844,B3169,M$3:M$3844)/(SUMIF(B$3:B$3844,B3169,J$3:J$3844))</f>
        <v>0.48503479391297699</v>
      </c>
      <c r="E3169" s="47">
        <v>35802</v>
      </c>
      <c r="F3169" s="48" t="s">
        <v>1416</v>
      </c>
      <c r="G3169" s="47"/>
      <c r="H3169" s="47"/>
      <c r="I3169" s="40">
        <v>373</v>
      </c>
      <c r="J3169" s="40">
        <v>845</v>
      </c>
      <c r="K3169" s="118"/>
      <c r="L3169" s="119"/>
      <c r="M3169" s="134">
        <f>IF(L3169="",I3169,(MIN(J3169,(L3169*1.6*J3169))))</f>
        <v>373</v>
      </c>
      <c r="N3169" s="127">
        <f>IF(M3169=0,0,(M3169/J3169))</f>
        <v>0.44142011834319528</v>
      </c>
    </row>
    <row r="3170" spans="2:14">
      <c r="B3170" s="72">
        <v>127671</v>
      </c>
      <c r="C3170" s="47" t="s">
        <v>1371</v>
      </c>
      <c r="D3170" s="133">
        <f>SUMIF(B$3:B$3844,B3170,M$3:M$3844)/(SUMIF(B$3:B$3844,B3170,J$3:J$3844))</f>
        <v>0.48503479391297699</v>
      </c>
      <c r="E3170" s="47">
        <v>35876</v>
      </c>
      <c r="F3170" s="48" t="s">
        <v>1417</v>
      </c>
      <c r="G3170" s="47"/>
      <c r="H3170" s="47"/>
      <c r="I3170" s="40">
        <v>315</v>
      </c>
      <c r="J3170" s="40">
        <v>891</v>
      </c>
      <c r="K3170" s="118"/>
      <c r="L3170" s="119"/>
      <c r="M3170" s="134">
        <f>IF(L3170="",I3170,(MIN(J3170,(L3170*1.6*J3170))))</f>
        <v>315</v>
      </c>
      <c r="N3170" s="127">
        <f>IF(M3170=0,0,(M3170/J3170))</f>
        <v>0.35353535353535354</v>
      </c>
    </row>
    <row r="3171" spans="2:14">
      <c r="B3171" s="72">
        <v>127671</v>
      </c>
      <c r="C3171" s="47" t="s">
        <v>1371</v>
      </c>
      <c r="D3171" s="133">
        <f>SUMIF(B$3:B$3844,B3171,M$3:M$3844)/(SUMIF(B$3:B$3844,B3171,J$3:J$3844))</f>
        <v>0.48503479391297699</v>
      </c>
      <c r="E3171" s="47">
        <v>35944</v>
      </c>
      <c r="F3171" s="48" t="s">
        <v>1418</v>
      </c>
      <c r="G3171" s="47"/>
      <c r="H3171" s="47"/>
      <c r="I3171" s="40">
        <v>294</v>
      </c>
      <c r="J3171" s="40">
        <v>864</v>
      </c>
      <c r="K3171" s="118"/>
      <c r="L3171" s="119"/>
      <c r="M3171" s="134">
        <f>IF(L3171="",I3171,(MIN(J3171,(L3171*1.6*J3171))))</f>
        <v>294</v>
      </c>
      <c r="N3171" s="127">
        <f>IF(M3171=0,0,(M3171/J3171))</f>
        <v>0.34027777777777779</v>
      </c>
    </row>
    <row r="3172" spans="2:14">
      <c r="B3172" s="72">
        <v>127671</v>
      </c>
      <c r="C3172" s="47" t="s">
        <v>1371</v>
      </c>
      <c r="D3172" s="133">
        <f>SUMIF(B$3:B$3844,B3172,M$3:M$3844)/(SUMIF(B$3:B$3844,B3172,J$3:J$3844))</f>
        <v>0.48503479391297699</v>
      </c>
      <c r="E3172" s="47">
        <v>35926</v>
      </c>
      <c r="F3172" s="48" t="s">
        <v>1419</v>
      </c>
      <c r="G3172" s="47"/>
      <c r="H3172" s="47"/>
      <c r="I3172" s="40">
        <v>740</v>
      </c>
      <c r="J3172" s="40">
        <v>1679</v>
      </c>
      <c r="K3172" s="118"/>
      <c r="L3172" s="119"/>
      <c r="M3172" s="134">
        <f>IF(L3172="",I3172,(MIN(J3172,(L3172*1.6*J3172))))</f>
        <v>740</v>
      </c>
      <c r="N3172" s="127">
        <f>IF(M3172=0,0,(M3172/J3172))</f>
        <v>0.44073853484216796</v>
      </c>
    </row>
    <row r="3173" spans="2:14">
      <c r="B3173" s="72">
        <v>127671</v>
      </c>
      <c r="C3173" s="47" t="s">
        <v>1371</v>
      </c>
      <c r="D3173" s="133">
        <f>SUMIF(B$3:B$3844,B3173,M$3:M$3844)/(SUMIF(B$3:B$3844,B3173,J$3:J$3844))</f>
        <v>0.48503479391297699</v>
      </c>
      <c r="E3173" s="47">
        <v>228435</v>
      </c>
      <c r="F3173" s="48" t="s">
        <v>1420</v>
      </c>
      <c r="G3173" s="47"/>
      <c r="H3173" s="47"/>
      <c r="I3173" s="40">
        <v>22</v>
      </c>
      <c r="J3173" s="40">
        <v>33</v>
      </c>
      <c r="K3173" s="118"/>
      <c r="L3173" s="119"/>
      <c r="M3173" s="134">
        <f>IF(L3173="",I3173,(MIN(J3173,(L3173*1.6*J3173))))</f>
        <v>22</v>
      </c>
      <c r="N3173" s="127">
        <f>IF(M3173=0,0,(M3173/J3173))</f>
        <v>0.66666666666666663</v>
      </c>
    </row>
    <row r="3174" spans="2:14">
      <c r="B3174" s="72">
        <v>127671</v>
      </c>
      <c r="C3174" s="47" t="s">
        <v>1371</v>
      </c>
      <c r="D3174" s="133">
        <f>SUMIF(B$3:B$3844,B3174,M$3:M$3844)/(SUMIF(B$3:B$3844,B3174,J$3:J$3844))</f>
        <v>0.48503479391297699</v>
      </c>
      <c r="E3174" s="47">
        <v>16083165</v>
      </c>
      <c r="F3174" s="48" t="s">
        <v>1421</v>
      </c>
      <c r="G3174" s="47"/>
      <c r="H3174" s="47"/>
      <c r="I3174" s="40">
        <v>64</v>
      </c>
      <c r="J3174" s="40">
        <v>81</v>
      </c>
      <c r="K3174" s="118"/>
      <c r="L3174" s="119"/>
      <c r="M3174" s="134">
        <f>IF(L3174="",I3174,(MIN(J3174,(L3174*1.6*J3174))))</f>
        <v>64</v>
      </c>
      <c r="N3174" s="127">
        <f>IF(M3174=0,0,(M3174/J3174))</f>
        <v>0.79012345679012341</v>
      </c>
    </row>
    <row r="3175" spans="2:14">
      <c r="B3175" s="72">
        <v>127671</v>
      </c>
      <c r="C3175" s="47" t="s">
        <v>1371</v>
      </c>
      <c r="D3175" s="133">
        <f>SUMIF(B$3:B$3844,B3175,M$3:M$3844)/(SUMIF(B$3:B$3844,B3175,J$3:J$3844))</f>
        <v>0.48503479391297699</v>
      </c>
      <c r="E3175" s="47">
        <v>16083332</v>
      </c>
      <c r="F3175" s="48" t="s">
        <v>1422</v>
      </c>
      <c r="G3175" s="47"/>
      <c r="H3175" s="47"/>
      <c r="I3175" s="40">
        <v>2</v>
      </c>
      <c r="J3175" s="40">
        <v>31</v>
      </c>
      <c r="K3175" s="118"/>
      <c r="L3175" s="119"/>
      <c r="M3175" s="134">
        <f>IF(L3175="",I3175,(MIN(J3175,(L3175*1.6*J3175))))</f>
        <v>2</v>
      </c>
      <c r="N3175" s="127">
        <f>IF(M3175=0,0,(M3175/J3175))</f>
        <v>6.4516129032258063E-2</v>
      </c>
    </row>
    <row r="3176" spans="2:14">
      <c r="B3176" s="72">
        <v>127671</v>
      </c>
      <c r="C3176" s="47" t="s">
        <v>1371</v>
      </c>
      <c r="D3176" s="133">
        <f>SUMIF(B$3:B$3844,B3176,M$3:M$3844)/(SUMIF(B$3:B$3844,B3176,J$3:J$3844))</f>
        <v>0.48503479391297699</v>
      </c>
      <c r="E3176" s="47">
        <v>35937</v>
      </c>
      <c r="F3176" s="48" t="s">
        <v>1423</v>
      </c>
      <c r="G3176" s="47"/>
      <c r="H3176" s="47"/>
      <c r="I3176" s="40">
        <v>18</v>
      </c>
      <c r="J3176" s="40">
        <v>27</v>
      </c>
      <c r="K3176" s="118"/>
      <c r="L3176" s="119"/>
      <c r="M3176" s="134">
        <f>IF(L3176="",I3176,(MIN(J3176,(L3176*1.6*J3176))))</f>
        <v>18</v>
      </c>
      <c r="N3176" s="127">
        <f>IF(M3176=0,0,(M3176/J3176))</f>
        <v>0.66666666666666663</v>
      </c>
    </row>
    <row r="3177" spans="2:14">
      <c r="B3177" s="72">
        <v>127671</v>
      </c>
      <c r="C3177" s="47" t="s">
        <v>1371</v>
      </c>
      <c r="D3177" s="133">
        <f>SUMIF(B$3:B$3844,B3177,M$3:M$3844)/(SUMIF(B$3:B$3844,B3177,J$3:J$3844))</f>
        <v>0.48503479391297699</v>
      </c>
      <c r="E3177" s="47">
        <v>16083197</v>
      </c>
      <c r="F3177" s="48" t="s">
        <v>1424</v>
      </c>
      <c r="G3177" s="47"/>
      <c r="H3177" s="47"/>
      <c r="I3177" s="40">
        <v>14</v>
      </c>
      <c r="J3177" s="40">
        <v>121</v>
      </c>
      <c r="K3177" s="118"/>
      <c r="L3177" s="119"/>
      <c r="M3177" s="134">
        <f>IF(L3177="",I3177,(MIN(J3177,(L3177*1.6*J3177))))</f>
        <v>14</v>
      </c>
      <c r="N3177" s="127">
        <f>IF(M3177=0,0,(M3177/J3177))</f>
        <v>0.11570247933884298</v>
      </c>
    </row>
    <row r="3178" spans="2:14">
      <c r="B3178" s="72">
        <v>127671</v>
      </c>
      <c r="C3178" s="47" t="s">
        <v>1371</v>
      </c>
      <c r="D3178" s="133">
        <f>SUMIF(B$3:B$3844,B3178,M$3:M$3844)/(SUMIF(B$3:B$3844,B3178,J$3:J$3844))</f>
        <v>0.48503479391297699</v>
      </c>
      <c r="E3178" s="47">
        <v>16030703</v>
      </c>
      <c r="F3178" s="48" t="s">
        <v>1425</v>
      </c>
      <c r="G3178" s="47"/>
      <c r="H3178" s="47"/>
      <c r="I3178" s="40"/>
      <c r="J3178" s="40" t="s">
        <v>264</v>
      </c>
      <c r="K3178" s="118"/>
      <c r="L3178" s="119"/>
      <c r="M3178" s="134">
        <f>IF(L3178="",I3178,(MIN(J3178,(L3178*1.6*J3178))))</f>
        <v>0</v>
      </c>
      <c r="N3178" s="127">
        <f>IF(M3178=0,0,(M3178/J3178))</f>
        <v>0</v>
      </c>
    </row>
    <row r="3179" spans="2:14">
      <c r="B3179" s="72">
        <v>127671</v>
      </c>
      <c r="C3179" s="47" t="s">
        <v>1371</v>
      </c>
      <c r="D3179" s="133">
        <f>SUMIF(B$3:B$3844,B3179,M$3:M$3844)/(SUMIF(B$3:B$3844,B3179,J$3:J$3844))</f>
        <v>0.48503479391297699</v>
      </c>
      <c r="E3179" s="47">
        <v>35933</v>
      </c>
      <c r="F3179" s="48" t="s">
        <v>1426</v>
      </c>
      <c r="G3179" s="47"/>
      <c r="H3179" s="47"/>
      <c r="I3179" s="40">
        <v>1527</v>
      </c>
      <c r="J3179" s="40">
        <v>3189</v>
      </c>
      <c r="K3179" s="118"/>
      <c r="L3179" s="119"/>
      <c r="M3179" s="134">
        <f>IF(L3179="",I3179,(MIN(J3179,(L3179*1.6*J3179))))</f>
        <v>1527</v>
      </c>
      <c r="N3179" s="127">
        <f>IF(M3179=0,0,(M3179/J3179))</f>
        <v>0.47883349012229537</v>
      </c>
    </row>
    <row r="3180" spans="2:14" ht="30">
      <c r="B3180" s="72">
        <v>127671</v>
      </c>
      <c r="C3180" s="47" t="s">
        <v>1371</v>
      </c>
      <c r="D3180" s="133">
        <f>SUMIF(B$3:B$3844,B3180,M$3:M$3844)/(SUMIF(B$3:B$3844,B3180,J$3:J$3844))</f>
        <v>0.48503479391297699</v>
      </c>
      <c r="E3180" s="47">
        <v>16083198</v>
      </c>
      <c r="F3180" s="48" t="s">
        <v>1427</v>
      </c>
      <c r="G3180" s="47"/>
      <c r="H3180" s="47"/>
      <c r="I3180" s="40"/>
      <c r="J3180" s="40">
        <v>0</v>
      </c>
      <c r="K3180" s="118"/>
      <c r="L3180" s="119"/>
      <c r="M3180" s="134">
        <f>IF(L3180="",I3180,(MIN(J3180,(L3180*1.6*J3180))))</f>
        <v>0</v>
      </c>
      <c r="N3180" s="127">
        <f>IF(M3180=0,0,(M3180/J3180))</f>
        <v>0</v>
      </c>
    </row>
    <row r="3181" spans="2:14" ht="30">
      <c r="B3181" s="72">
        <v>127671</v>
      </c>
      <c r="C3181" s="47" t="s">
        <v>1371</v>
      </c>
      <c r="D3181" s="133">
        <f>SUMIF(B$3:B$3844,B3181,M$3:M$3844)/(SUMIF(B$3:B$3844,B3181,J$3:J$3844))</f>
        <v>0.48503479391297699</v>
      </c>
      <c r="E3181" s="47">
        <v>16083199</v>
      </c>
      <c r="F3181" s="48" t="s">
        <v>1428</v>
      </c>
      <c r="G3181" s="47"/>
      <c r="H3181" s="47"/>
      <c r="I3181" s="40"/>
      <c r="J3181" s="40">
        <v>0</v>
      </c>
      <c r="K3181" s="118"/>
      <c r="L3181" s="119"/>
      <c r="M3181" s="134">
        <f>IF(L3181="",I3181,(MIN(J3181,(L3181*1.6*J3181))))</f>
        <v>0</v>
      </c>
      <c r="N3181" s="127">
        <f>IF(M3181=0,0,(M3181/J3181))</f>
        <v>0</v>
      </c>
    </row>
    <row r="3182" spans="2:14">
      <c r="B3182" s="72">
        <v>127671</v>
      </c>
      <c r="C3182" s="47" t="s">
        <v>1371</v>
      </c>
      <c r="D3182" s="133">
        <f>SUMIF(B$3:B$3844,B3182,M$3:M$3844)/(SUMIF(B$3:B$3844,B3182,J$3:J$3844))</f>
        <v>0.48503479391297699</v>
      </c>
      <c r="E3182" s="47">
        <v>35798</v>
      </c>
      <c r="F3182" s="48" t="s">
        <v>1429</v>
      </c>
      <c r="G3182" s="47"/>
      <c r="H3182" s="47"/>
      <c r="I3182" s="40">
        <v>740</v>
      </c>
      <c r="J3182" s="40">
        <v>1139</v>
      </c>
      <c r="K3182" s="118"/>
      <c r="L3182" s="119"/>
      <c r="M3182" s="134">
        <f>IF(L3182="",I3182,(MIN(J3182,(L3182*1.6*J3182))))</f>
        <v>740</v>
      </c>
      <c r="N3182" s="127">
        <f>IF(M3182=0,0,(M3182/J3182))</f>
        <v>0.6496927129060579</v>
      </c>
    </row>
    <row r="3183" spans="2:14">
      <c r="B3183" s="72">
        <v>127671</v>
      </c>
      <c r="C3183" s="47" t="s">
        <v>1371</v>
      </c>
      <c r="D3183" s="133">
        <f>SUMIF(B$3:B$3844,B3183,M$3:M$3844)/(SUMIF(B$3:B$3844,B3183,J$3:J$3844))</f>
        <v>0.48503479391297699</v>
      </c>
      <c r="E3183" s="47">
        <v>35819</v>
      </c>
      <c r="F3183" s="48" t="s">
        <v>1430</v>
      </c>
      <c r="G3183" s="47"/>
      <c r="H3183" s="47"/>
      <c r="I3183" s="40">
        <v>504</v>
      </c>
      <c r="J3183" s="40">
        <v>655</v>
      </c>
      <c r="K3183" s="118"/>
      <c r="L3183" s="119"/>
      <c r="M3183" s="134">
        <f>IF(L3183="",I3183,(MIN(J3183,(L3183*1.6*J3183))))</f>
        <v>504</v>
      </c>
      <c r="N3183" s="127">
        <f>IF(M3183=0,0,(M3183/J3183))</f>
        <v>0.76946564885496183</v>
      </c>
    </row>
    <row r="3184" spans="2:14">
      <c r="B3184" s="72">
        <v>127671</v>
      </c>
      <c r="C3184" s="47" t="s">
        <v>1371</v>
      </c>
      <c r="D3184" s="133">
        <f>SUMIF(B$3:B$3844,B3184,M$3:M$3844)/(SUMIF(B$3:B$3844,B3184,J$3:J$3844))</f>
        <v>0.48503479391297699</v>
      </c>
      <c r="E3184" s="47">
        <v>35912</v>
      </c>
      <c r="F3184" s="48" t="s">
        <v>1431</v>
      </c>
      <c r="G3184" s="47"/>
      <c r="H3184" s="47"/>
      <c r="I3184" s="40">
        <v>255</v>
      </c>
      <c r="J3184" s="40">
        <v>591</v>
      </c>
      <c r="K3184" s="118"/>
      <c r="L3184" s="119"/>
      <c r="M3184" s="134">
        <f>IF(L3184="",I3184,(MIN(J3184,(L3184*1.6*J3184))))</f>
        <v>255</v>
      </c>
      <c r="N3184" s="127">
        <f>IF(M3184=0,0,(M3184/J3184))</f>
        <v>0.43147208121827413</v>
      </c>
    </row>
    <row r="3185" spans="2:14">
      <c r="B3185" s="72">
        <v>127671</v>
      </c>
      <c r="C3185" s="47" t="s">
        <v>1371</v>
      </c>
      <c r="D3185" s="133">
        <f>SUMIF(B$3:B$3844,B3185,M$3:M$3844)/(SUMIF(B$3:B$3844,B3185,J$3:J$3844))</f>
        <v>0.48503479391297699</v>
      </c>
      <c r="E3185" s="47">
        <v>35801</v>
      </c>
      <c r="F3185" s="48" t="s">
        <v>1432</v>
      </c>
      <c r="G3185" s="47"/>
      <c r="H3185" s="47"/>
      <c r="I3185" s="40">
        <v>430</v>
      </c>
      <c r="J3185" s="40">
        <v>804</v>
      </c>
      <c r="K3185" s="118"/>
      <c r="L3185" s="119"/>
      <c r="M3185" s="134">
        <f>IF(L3185="",I3185,(MIN(J3185,(L3185*1.6*J3185))))</f>
        <v>430</v>
      </c>
      <c r="N3185" s="127">
        <f>IF(M3185=0,0,(M3185/J3185))</f>
        <v>0.53482587064676612</v>
      </c>
    </row>
    <row r="3186" spans="2:14">
      <c r="B3186" s="72">
        <v>127671</v>
      </c>
      <c r="C3186" s="47" t="s">
        <v>1371</v>
      </c>
      <c r="D3186" s="133">
        <f>SUMIF(B$3:B$3844,B3186,M$3:M$3844)/(SUMIF(B$3:B$3844,B3186,J$3:J$3844))</f>
        <v>0.48503479391297699</v>
      </c>
      <c r="E3186" s="47">
        <v>213341</v>
      </c>
      <c r="F3186" s="48" t="s">
        <v>1433</v>
      </c>
      <c r="G3186" s="47"/>
      <c r="H3186" s="47"/>
      <c r="I3186" s="40"/>
      <c r="J3186" s="40" t="s">
        <v>798</v>
      </c>
      <c r="K3186" s="118"/>
      <c r="L3186" s="119"/>
      <c r="M3186" s="134">
        <f>IF(L3186="",I3186,(MIN(J3186,(L3186*1.6*J3186))))</f>
        <v>0</v>
      </c>
      <c r="N3186" s="127">
        <f>IF(M3186=0,0,(M3186/J3186))</f>
        <v>0</v>
      </c>
    </row>
    <row r="3187" spans="2:14">
      <c r="B3187" s="72">
        <v>127671</v>
      </c>
      <c r="C3187" s="47" t="s">
        <v>1371</v>
      </c>
      <c r="D3187" s="133">
        <f>SUMIF(B$3:B$3844,B3187,M$3:M$3844)/(SUMIF(B$3:B$3844,B3187,J$3:J$3844))</f>
        <v>0.48503479391297699</v>
      </c>
      <c r="E3187" s="47">
        <v>35820</v>
      </c>
      <c r="F3187" s="48" t="s">
        <v>1434</v>
      </c>
      <c r="G3187" s="47"/>
      <c r="H3187" s="47"/>
      <c r="I3187" s="40">
        <v>710</v>
      </c>
      <c r="J3187" s="40">
        <v>1296</v>
      </c>
      <c r="K3187" s="118"/>
      <c r="L3187" s="119"/>
      <c r="M3187" s="134">
        <f>IF(L3187="",I3187,(MIN(J3187,(L3187*1.6*J3187))))</f>
        <v>710</v>
      </c>
      <c r="N3187" s="127">
        <f>IF(M3187=0,0,(M3187/J3187))</f>
        <v>0.5478395061728395</v>
      </c>
    </row>
    <row r="3188" spans="2:14">
      <c r="B3188" s="72">
        <v>127671</v>
      </c>
      <c r="C3188" s="47" t="s">
        <v>1371</v>
      </c>
      <c r="D3188" s="133">
        <f>SUMIF(B$3:B$3844,B3188,M$3:M$3844)/(SUMIF(B$3:B$3844,B3188,J$3:J$3844))</f>
        <v>0.48503479391297699</v>
      </c>
      <c r="E3188" s="47">
        <v>35909</v>
      </c>
      <c r="F3188" s="48" t="s">
        <v>1435</v>
      </c>
      <c r="G3188" s="47"/>
      <c r="H3188" s="47"/>
      <c r="I3188" s="40">
        <v>551</v>
      </c>
      <c r="J3188" s="40">
        <v>1074</v>
      </c>
      <c r="K3188" s="118"/>
      <c r="L3188" s="119"/>
      <c r="M3188" s="134">
        <f>IF(L3188="",I3188,(MIN(J3188,(L3188*1.6*J3188))))</f>
        <v>551</v>
      </c>
      <c r="N3188" s="127">
        <f>IF(M3188=0,0,(M3188/J3188))</f>
        <v>0.51303538175046559</v>
      </c>
    </row>
    <row r="3189" spans="2:14">
      <c r="B3189" s="72">
        <v>127671</v>
      </c>
      <c r="C3189" s="47" t="s">
        <v>1371</v>
      </c>
      <c r="D3189" s="133">
        <f>SUMIF(B$3:B$3844,B3189,M$3:M$3844)/(SUMIF(B$3:B$3844,B3189,J$3:J$3844))</f>
        <v>0.48503479391297699</v>
      </c>
      <c r="E3189" s="47">
        <v>16023495</v>
      </c>
      <c r="F3189" s="48" t="s">
        <v>1436</v>
      </c>
      <c r="G3189" s="47"/>
      <c r="H3189" s="47"/>
      <c r="I3189" s="40">
        <v>160</v>
      </c>
      <c r="J3189" s="40">
        <v>682</v>
      </c>
      <c r="K3189" s="118"/>
      <c r="L3189" s="119"/>
      <c r="M3189" s="134">
        <f>IF(L3189="",I3189,(MIN(J3189,(L3189*1.6*J3189))))</f>
        <v>160</v>
      </c>
      <c r="N3189" s="127">
        <f>IF(M3189=0,0,(M3189/J3189))</f>
        <v>0.23460410557184752</v>
      </c>
    </row>
    <row r="3190" spans="2:14">
      <c r="B3190" s="72">
        <v>127671</v>
      </c>
      <c r="C3190" s="47" t="s">
        <v>1371</v>
      </c>
      <c r="D3190" s="133">
        <f>SUMIF(B$3:B$3844,B3190,M$3:M$3844)/(SUMIF(B$3:B$3844,B3190,J$3:J$3844))</f>
        <v>0.48503479391297699</v>
      </c>
      <c r="E3190" s="47">
        <v>35946</v>
      </c>
      <c r="F3190" s="48" t="s">
        <v>1437</v>
      </c>
      <c r="G3190" s="47"/>
      <c r="H3190" s="47"/>
      <c r="I3190" s="40">
        <v>276</v>
      </c>
      <c r="J3190" s="40">
        <v>819</v>
      </c>
      <c r="K3190" s="118"/>
      <c r="L3190" s="119"/>
      <c r="M3190" s="134">
        <f>IF(L3190="",I3190,(MIN(J3190,(L3190*1.6*J3190))))</f>
        <v>276</v>
      </c>
      <c r="N3190" s="127">
        <f>IF(M3190=0,0,(M3190/J3190))</f>
        <v>0.33699633699633702</v>
      </c>
    </row>
    <row r="3191" spans="2:14">
      <c r="B3191" s="72">
        <v>127671</v>
      </c>
      <c r="C3191" s="47" t="s">
        <v>1371</v>
      </c>
      <c r="D3191" s="133">
        <f>SUMIF(B$3:B$3844,B3191,M$3:M$3844)/(SUMIF(B$3:B$3844,B3191,J$3:J$3844))</f>
        <v>0.48503479391297699</v>
      </c>
      <c r="E3191" s="47">
        <v>35919</v>
      </c>
      <c r="F3191" s="48" t="s">
        <v>1438</v>
      </c>
      <c r="G3191" s="47"/>
      <c r="H3191" s="47"/>
      <c r="I3191" s="40">
        <v>599</v>
      </c>
      <c r="J3191" s="40">
        <v>720</v>
      </c>
      <c r="K3191" s="118"/>
      <c r="L3191" s="119"/>
      <c r="M3191" s="134">
        <f>IF(L3191="",I3191,(MIN(J3191,(L3191*1.6*J3191))))</f>
        <v>599</v>
      </c>
      <c r="N3191" s="127">
        <f>IF(M3191=0,0,(M3191/J3191))</f>
        <v>0.83194444444444449</v>
      </c>
    </row>
    <row r="3192" spans="2:14">
      <c r="B3192" s="72">
        <v>127671</v>
      </c>
      <c r="C3192" s="47" t="s">
        <v>1371</v>
      </c>
      <c r="D3192" s="133">
        <f>SUMIF(B$3:B$3844,B3192,M$3:M$3844)/(SUMIF(B$3:B$3844,B3192,J$3:J$3844))</f>
        <v>0.48503479391297699</v>
      </c>
      <c r="E3192" s="47">
        <v>35930</v>
      </c>
      <c r="F3192" s="48" t="s">
        <v>1439</v>
      </c>
      <c r="G3192" s="47"/>
      <c r="H3192" s="47"/>
      <c r="I3192" s="40">
        <v>294</v>
      </c>
      <c r="J3192" s="40">
        <v>977</v>
      </c>
      <c r="K3192" s="118"/>
      <c r="L3192" s="119"/>
      <c r="M3192" s="134">
        <f>IF(L3192="",I3192,(MIN(J3192,(L3192*1.6*J3192))))</f>
        <v>294</v>
      </c>
      <c r="N3192" s="127">
        <f>IF(M3192=0,0,(M3192/J3192))</f>
        <v>0.30092118730808598</v>
      </c>
    </row>
    <row r="3193" spans="2:14">
      <c r="B3193" s="72">
        <v>127671</v>
      </c>
      <c r="C3193" s="47" t="s">
        <v>1371</v>
      </c>
      <c r="D3193" s="133">
        <f>SUMIF(B$3:B$3844,B3193,M$3:M$3844)/(SUMIF(B$3:B$3844,B3193,J$3:J$3844))</f>
        <v>0.48503479391297699</v>
      </c>
      <c r="E3193" s="47">
        <v>35804</v>
      </c>
      <c r="F3193" s="48" t="s">
        <v>1440</v>
      </c>
      <c r="G3193" s="47"/>
      <c r="H3193" s="47"/>
      <c r="I3193" s="40">
        <v>510</v>
      </c>
      <c r="J3193" s="40">
        <v>679</v>
      </c>
      <c r="K3193" s="118"/>
      <c r="L3193" s="119"/>
      <c r="M3193" s="134">
        <f>IF(L3193="",I3193,(MIN(J3193,(L3193*1.6*J3193))))</f>
        <v>510</v>
      </c>
      <c r="N3193" s="127">
        <f>IF(M3193=0,0,(M3193/J3193))</f>
        <v>0.75110456553755522</v>
      </c>
    </row>
    <row r="3194" spans="2:14">
      <c r="B3194" s="72">
        <v>127671</v>
      </c>
      <c r="C3194" s="47" t="s">
        <v>1371</v>
      </c>
      <c r="D3194" s="133">
        <f>SUMIF(B$3:B$3844,B3194,M$3:M$3844)/(SUMIF(B$3:B$3844,B3194,J$3:J$3844))</f>
        <v>0.48503479391297699</v>
      </c>
      <c r="E3194" s="47">
        <v>35805</v>
      </c>
      <c r="F3194" s="48" t="s">
        <v>1441</v>
      </c>
      <c r="G3194" s="47"/>
      <c r="H3194" s="47"/>
      <c r="I3194" s="40">
        <v>1186</v>
      </c>
      <c r="J3194" s="40">
        <v>2388</v>
      </c>
      <c r="K3194" s="118"/>
      <c r="L3194" s="119"/>
      <c r="M3194" s="134">
        <f>IF(L3194="",I3194,(MIN(J3194,(L3194*1.6*J3194))))</f>
        <v>1186</v>
      </c>
      <c r="N3194" s="127">
        <f>IF(M3194=0,0,(M3194/J3194))</f>
        <v>0.49664991624790622</v>
      </c>
    </row>
    <row r="3195" spans="2:14">
      <c r="B3195" s="72">
        <v>127671</v>
      </c>
      <c r="C3195" s="47" t="s">
        <v>1371</v>
      </c>
      <c r="D3195" s="133">
        <f>SUMIF(B$3:B$3844,B3195,M$3:M$3844)/(SUMIF(B$3:B$3844,B3195,J$3:J$3844))</f>
        <v>0.48503479391297699</v>
      </c>
      <c r="E3195" s="47">
        <v>35881</v>
      </c>
      <c r="F3195" s="48" t="s">
        <v>1442</v>
      </c>
      <c r="G3195" s="47"/>
      <c r="H3195" s="47"/>
      <c r="I3195" s="40">
        <v>284</v>
      </c>
      <c r="J3195" s="40">
        <v>863</v>
      </c>
      <c r="K3195" s="118"/>
      <c r="L3195" s="119"/>
      <c r="M3195" s="134">
        <f>IF(L3195="",I3195,(MIN(J3195,(L3195*1.6*J3195))))</f>
        <v>284</v>
      </c>
      <c r="N3195" s="127">
        <f>IF(M3195=0,0,(M3195/J3195))</f>
        <v>0.32908458864426421</v>
      </c>
    </row>
    <row r="3196" spans="2:14">
      <c r="B3196" s="72">
        <v>127671</v>
      </c>
      <c r="C3196" s="47" t="s">
        <v>1371</v>
      </c>
      <c r="D3196" s="133">
        <f>SUMIF(B$3:B$3844,B3196,M$3:M$3844)/(SUMIF(B$3:B$3844,B3196,J$3:J$3844))</f>
        <v>0.48503479391297699</v>
      </c>
      <c r="E3196" s="47">
        <v>16030700</v>
      </c>
      <c r="F3196" s="48" t="s">
        <v>1443</v>
      </c>
      <c r="G3196" s="47"/>
      <c r="H3196" s="47"/>
      <c r="I3196" s="40"/>
      <c r="J3196" s="40"/>
      <c r="K3196" s="118"/>
      <c r="L3196" s="119"/>
      <c r="M3196" s="134">
        <f>IF(L3196="",I3196,(MIN(J3196,(L3196*1.6*J3196))))</f>
        <v>0</v>
      </c>
      <c r="N3196" s="127">
        <f>IF(M3196=0,0,(M3196/J3196))</f>
        <v>0</v>
      </c>
    </row>
    <row r="3197" spans="2:14">
      <c r="B3197" s="72">
        <v>127671</v>
      </c>
      <c r="C3197" s="47" t="s">
        <v>1371</v>
      </c>
      <c r="D3197" s="133">
        <f>SUMIF(B$3:B$3844,B3197,M$3:M$3844)/(SUMIF(B$3:B$3844,B3197,J$3:J$3844))</f>
        <v>0.48503479391297699</v>
      </c>
      <c r="E3197" s="47">
        <v>16030701</v>
      </c>
      <c r="F3197" s="48" t="s">
        <v>1444</v>
      </c>
      <c r="G3197" s="47"/>
      <c r="H3197" s="47"/>
      <c r="I3197" s="40"/>
      <c r="J3197" s="40"/>
      <c r="K3197" s="118"/>
      <c r="L3197" s="119"/>
      <c r="M3197" s="134">
        <f>IF(L3197="",I3197,(MIN(J3197,(L3197*1.6*J3197))))</f>
        <v>0</v>
      </c>
      <c r="N3197" s="127">
        <f>IF(M3197=0,0,(M3197/J3197))</f>
        <v>0</v>
      </c>
    </row>
    <row r="3198" spans="2:14">
      <c r="B3198" s="72">
        <v>127671</v>
      </c>
      <c r="C3198" s="47" t="s">
        <v>1371</v>
      </c>
      <c r="D3198" s="133">
        <f>SUMIF(B$3:B$3844,B3198,M$3:M$3844)/(SUMIF(B$3:B$3844,B3198,J$3:J$3844))</f>
        <v>0.48503479391297699</v>
      </c>
      <c r="E3198" s="47">
        <v>16030704</v>
      </c>
      <c r="F3198" s="48" t="s">
        <v>1445</v>
      </c>
      <c r="G3198" s="47"/>
      <c r="H3198" s="47"/>
      <c r="I3198" s="40"/>
      <c r="J3198" s="40"/>
      <c r="K3198" s="118"/>
      <c r="L3198" s="119"/>
      <c r="M3198" s="134">
        <f>IF(L3198="",I3198,(MIN(J3198,(L3198*1.6*J3198))))</f>
        <v>0</v>
      </c>
      <c r="N3198" s="127">
        <f>IF(M3198=0,0,(M3198/J3198))</f>
        <v>0</v>
      </c>
    </row>
    <row r="3199" spans="2:14">
      <c r="B3199" s="72">
        <v>127671</v>
      </c>
      <c r="C3199" s="47" t="s">
        <v>1371</v>
      </c>
      <c r="D3199" s="133">
        <f>SUMIF(B$3:B$3844,B3199,M$3:M$3844)/(SUMIF(B$3:B$3844,B3199,J$3:J$3844))</f>
        <v>0.48503479391297699</v>
      </c>
      <c r="E3199" s="47">
        <v>16036217</v>
      </c>
      <c r="F3199" s="48" t="s">
        <v>1446</v>
      </c>
      <c r="G3199" s="47"/>
      <c r="H3199" s="47"/>
      <c r="I3199" s="40"/>
      <c r="J3199" s="40"/>
      <c r="K3199" s="118"/>
      <c r="L3199" s="119"/>
      <c r="M3199" s="134">
        <f>IF(L3199="",I3199,(MIN(J3199,(L3199*1.6*J3199))))</f>
        <v>0</v>
      </c>
      <c r="N3199" s="127">
        <f>IF(M3199=0,0,(M3199/J3199))</f>
        <v>0</v>
      </c>
    </row>
    <row r="3200" spans="2:14">
      <c r="B3200" s="72">
        <v>127671</v>
      </c>
      <c r="C3200" s="72" t="s">
        <v>1371</v>
      </c>
      <c r="D3200" s="133">
        <f>SUMIF(B$3:B$3844,B3200,M$3:M$3844)/(SUMIF(B$3:B$3844,B3200,J$3:J$3844))</f>
        <v>0.48503479391297699</v>
      </c>
      <c r="E3200" s="74">
        <v>16078770</v>
      </c>
      <c r="F3200" s="97" t="s">
        <v>934</v>
      </c>
      <c r="G3200" s="74"/>
      <c r="H3200" s="74"/>
      <c r="I3200" s="99"/>
      <c r="J3200" s="99"/>
      <c r="K3200" s="135"/>
      <c r="L3200" s="136"/>
      <c r="M3200" s="134">
        <f>IF(L3200="",I3200,(MIN(J3200,(L3200*1.6*J3200))))</f>
        <v>0</v>
      </c>
      <c r="N3200" s="127">
        <f>IF(M3200=0,0,(M3200/J3200))</f>
        <v>0</v>
      </c>
    </row>
    <row r="3201" spans="2:14">
      <c r="B3201" s="72">
        <v>127671</v>
      </c>
      <c r="C3201" s="72" t="s">
        <v>1371</v>
      </c>
      <c r="D3201" s="133">
        <f>SUMIF(B$3:B$3844,B3201,M$3:M$3844)/(SUMIF(B$3:B$3844,B3201,J$3:J$3844))</f>
        <v>0.48503479391297699</v>
      </c>
      <c r="E3201" s="74">
        <v>16078771</v>
      </c>
      <c r="F3201" s="97" t="s">
        <v>1447</v>
      </c>
      <c r="G3201" s="74"/>
      <c r="H3201" s="74"/>
      <c r="I3201" s="99"/>
      <c r="J3201" s="99"/>
      <c r="K3201" s="135"/>
      <c r="L3201" s="136"/>
      <c r="M3201" s="134">
        <f>IF(L3201="",I3201,(MIN(J3201,(L3201*1.6*J3201))))</f>
        <v>0</v>
      </c>
      <c r="N3201" s="127">
        <f>IF(M3201=0,0,(M3201/J3201))</f>
        <v>0</v>
      </c>
    </row>
    <row r="3202" spans="2:14">
      <c r="B3202" s="72">
        <v>127671</v>
      </c>
      <c r="C3202" s="72" t="s">
        <v>1371</v>
      </c>
      <c r="D3202" s="133">
        <f>SUMIF(B$3:B$3844,B3202,M$3:M$3844)/(SUMIF(B$3:B$3844,B3202,J$3:J$3844))</f>
        <v>0.48503479391297699</v>
      </c>
      <c r="E3202" s="74">
        <v>16083207</v>
      </c>
      <c r="F3202" s="97" t="s">
        <v>1448</v>
      </c>
      <c r="G3202" s="74"/>
      <c r="H3202" s="74"/>
      <c r="I3202" s="99"/>
      <c r="J3202" s="99"/>
      <c r="K3202" s="135"/>
      <c r="L3202" s="136"/>
      <c r="M3202" s="134">
        <f>IF(L3202="",I3202,(MIN(J3202,(L3202*1.6*J3202))))</f>
        <v>0</v>
      </c>
      <c r="N3202" s="127">
        <f>IF(M3202=0,0,(M3202/J3202))</f>
        <v>0</v>
      </c>
    </row>
    <row r="3203" spans="2:14">
      <c r="B3203" s="73">
        <v>127568</v>
      </c>
      <c r="C3203" s="73" t="s">
        <v>2288</v>
      </c>
      <c r="D3203" s="133">
        <f>SUMIF(B$3:B$3844,B3203,M$3:M$3844)/(SUMIF(B$3:B$3844,B3203,J$3:J$3844))</f>
        <v>0.2378478459115152</v>
      </c>
      <c r="E3203" s="75">
        <v>34849</v>
      </c>
      <c r="F3203" s="96" t="str">
        <f>"ALICE B. LANDRUM MIDDLE SCHOOL"</f>
        <v>ALICE B. LANDRUM MIDDLE SCHOOL</v>
      </c>
      <c r="G3203" s="75"/>
      <c r="H3203" s="75"/>
      <c r="I3203" s="98">
        <v>102</v>
      </c>
      <c r="J3203" s="98">
        <v>1111</v>
      </c>
      <c r="K3203" s="76"/>
      <c r="L3203" s="80"/>
      <c r="M3203" s="134">
        <f>IF(L3203="",I3203,(MIN(J3203,(L3203*1.6*J3203))))</f>
        <v>102</v>
      </c>
      <c r="N3203" s="127">
        <f>IF(M3203=0,0,(M3203/J3203))</f>
        <v>9.1809180918091815E-2</v>
      </c>
    </row>
    <row r="3204" spans="2:14">
      <c r="B3204" s="72">
        <v>127568</v>
      </c>
      <c r="C3204" s="72" t="s">
        <v>2288</v>
      </c>
      <c r="D3204" s="133">
        <f>SUMIF(B$3:B$3844,B3204,M$3:M$3844)/(SUMIF(B$3:B$3844,B3204,J$3:J$3844))</f>
        <v>0.2378478459115152</v>
      </c>
      <c r="E3204" s="74">
        <v>34882</v>
      </c>
      <c r="F3204" s="97" t="s">
        <v>2299</v>
      </c>
      <c r="G3204" s="74"/>
      <c r="H3204" s="74"/>
      <c r="I3204" s="99">
        <v>303</v>
      </c>
      <c r="J3204" s="99">
        <v>2059</v>
      </c>
      <c r="K3204" s="76"/>
      <c r="L3204" s="80"/>
      <c r="M3204" s="134">
        <f>IF(L3204="",I3204,(MIN(J3204,(L3204*1.6*J3204))))</f>
        <v>303</v>
      </c>
      <c r="N3204" s="127">
        <f>IF(M3204=0,0,(M3204/J3204))</f>
        <v>0.14715881495871783</v>
      </c>
    </row>
    <row r="3205" spans="2:14">
      <c r="B3205" s="73">
        <v>127568</v>
      </c>
      <c r="C3205" s="73" t="s">
        <v>2288</v>
      </c>
      <c r="D3205" s="133">
        <f>SUMIF(B$3:B$3844,B3205,M$3:M$3844)/(SUMIF(B$3:B$3844,B3205,J$3:J$3844))</f>
        <v>0.2378478459115152</v>
      </c>
      <c r="E3205" s="75">
        <v>205574</v>
      </c>
      <c r="F3205" s="96" t="s">
        <v>2300</v>
      </c>
      <c r="G3205" s="75"/>
      <c r="H3205" s="75"/>
      <c r="I3205" s="98">
        <v>184</v>
      </c>
      <c r="J3205" s="98">
        <v>2106</v>
      </c>
      <c r="K3205" s="76"/>
      <c r="L3205" s="80"/>
      <c r="M3205" s="134">
        <f>IF(L3205="",I3205,(MIN(J3205,(L3205*1.6*J3205))))</f>
        <v>184</v>
      </c>
      <c r="N3205" s="127">
        <f>IF(M3205=0,0,(M3205/J3205))</f>
        <v>8.7369420702754039E-2</v>
      </c>
    </row>
    <row r="3206" spans="2:14">
      <c r="B3206" s="72">
        <v>127568</v>
      </c>
      <c r="C3206" s="72" t="s">
        <v>2288</v>
      </c>
      <c r="D3206" s="133">
        <f>SUMIF(B$3:B$3844,B3206,M$3:M$3844)/(SUMIF(B$3:B$3844,B3206,J$3:J$3844))</f>
        <v>0.2378478459115152</v>
      </c>
      <c r="E3206" s="74">
        <v>16044463</v>
      </c>
      <c r="F3206" s="97" t="str">
        <f>"CREEKSIDE HIGH SCHOOL"</f>
        <v>CREEKSIDE HIGH SCHOOL</v>
      </c>
      <c r="G3206" s="74"/>
      <c r="H3206" s="74"/>
      <c r="I3206" s="99">
        <v>163</v>
      </c>
      <c r="J3206" s="99">
        <v>2007</v>
      </c>
      <c r="K3206" s="76"/>
      <c r="L3206" s="80"/>
      <c r="M3206" s="134">
        <f>IF(L3206="",I3206,(MIN(J3206,(L3206*1.6*J3206))))</f>
        <v>163</v>
      </c>
      <c r="N3206" s="127">
        <f>IF(M3206=0,0,(M3206/J3206))</f>
        <v>8.1215744892874933E-2</v>
      </c>
    </row>
    <row r="3207" spans="2:14">
      <c r="B3207" s="73">
        <v>127568</v>
      </c>
      <c r="C3207" s="73" t="s">
        <v>2288</v>
      </c>
      <c r="D3207" s="133">
        <f>SUMIF(B$3:B$3844,B3207,M$3:M$3844)/(SUMIF(B$3:B$3844,B3207,J$3:J$3844))</f>
        <v>0.2378478459115152</v>
      </c>
      <c r="E3207" s="75">
        <v>34876</v>
      </c>
      <c r="F3207" s="96" t="str">
        <f>"CROOKSHANK ELEMENTARY SCHOOL"</f>
        <v>CROOKSHANK ELEMENTARY SCHOOL</v>
      </c>
      <c r="G3207" s="75"/>
      <c r="H3207" s="75"/>
      <c r="I3207" s="98">
        <v>554</v>
      </c>
      <c r="J3207" s="98">
        <v>779</v>
      </c>
      <c r="K3207" s="76"/>
      <c r="L3207" s="80"/>
      <c r="M3207" s="134">
        <f>IF(L3207="",I3207,(MIN(J3207,(L3207*1.6*J3207))))</f>
        <v>554</v>
      </c>
      <c r="N3207" s="127">
        <f>IF(M3207=0,0,(M3207/J3207))</f>
        <v>0.71116816431322205</v>
      </c>
    </row>
    <row r="3208" spans="2:14">
      <c r="B3208" s="72">
        <v>127568</v>
      </c>
      <c r="C3208" s="72" t="s">
        <v>2288</v>
      </c>
      <c r="D3208" s="133">
        <f>SUMIF(B$3:B$3844,B3208,M$3:M$3844)/(SUMIF(B$3:B$3844,B3208,J$3:J$3844))</f>
        <v>0.2378478459115152</v>
      </c>
      <c r="E3208" s="74">
        <v>35226</v>
      </c>
      <c r="F3208" s="97" t="s">
        <v>2301</v>
      </c>
      <c r="G3208" s="74"/>
      <c r="H3208" s="74"/>
      <c r="I3208" s="99">
        <v>136</v>
      </c>
      <c r="J3208" s="99">
        <v>956</v>
      </c>
      <c r="K3208" s="76"/>
      <c r="L3208" s="80"/>
      <c r="M3208" s="134">
        <f>IF(L3208="",I3208,(MIN(J3208,(L3208*1.6*J3208))))</f>
        <v>136</v>
      </c>
      <c r="N3208" s="127">
        <f>IF(M3208=0,0,(M3208/J3208))</f>
        <v>0.14225941422594143</v>
      </c>
    </row>
    <row r="3209" spans="2:14">
      <c r="B3209" s="73">
        <v>127568</v>
      </c>
      <c r="C3209" s="73" t="s">
        <v>2288</v>
      </c>
      <c r="D3209" s="133">
        <f>SUMIF(B$3:B$3844,B3209,M$3:M$3844)/(SUMIF(B$3:B$3844,B3209,J$3:J$3844))</f>
        <v>0.2378478459115152</v>
      </c>
      <c r="E3209" s="75">
        <v>16023375</v>
      </c>
      <c r="F3209" s="96" t="str">
        <f>"DURBIN CREEK ELEMENTARY SCHOOL"</f>
        <v>DURBIN CREEK ELEMENTARY SCHOOL</v>
      </c>
      <c r="G3209" s="75"/>
      <c r="H3209" s="75"/>
      <c r="I3209" s="98">
        <v>67</v>
      </c>
      <c r="J3209" s="98">
        <v>563</v>
      </c>
      <c r="K3209" s="76"/>
      <c r="L3209" s="80"/>
      <c r="M3209" s="134">
        <f>IF(L3209="",I3209,(MIN(J3209,(L3209*1.6*J3209))))</f>
        <v>67</v>
      </c>
      <c r="N3209" s="127">
        <f>IF(M3209=0,0,(M3209/J3209))</f>
        <v>0.11900532859680284</v>
      </c>
    </row>
    <row r="3210" spans="2:14">
      <c r="B3210" s="72">
        <v>127568</v>
      </c>
      <c r="C3210" s="72" t="s">
        <v>2288</v>
      </c>
      <c r="D3210" s="133">
        <f>SUMIF(B$3:B$3844,B3210,M$3:M$3844)/(SUMIF(B$3:B$3844,B3210,J$3:J$3844))</f>
        <v>0.2378478459115152</v>
      </c>
      <c r="E3210" s="74">
        <v>223812</v>
      </c>
      <c r="F3210" s="97" t="str">
        <f>"FRUIT COVE MIDDLE SCHOOL"</f>
        <v>FRUIT COVE MIDDLE SCHOOL</v>
      </c>
      <c r="G3210" s="74"/>
      <c r="H3210" s="74"/>
      <c r="I3210" s="99">
        <v>132</v>
      </c>
      <c r="J3210" s="99">
        <v>1168</v>
      </c>
      <c r="K3210" s="76"/>
      <c r="L3210" s="80"/>
      <c r="M3210" s="134">
        <f>IF(L3210="",I3210,(MIN(J3210,(L3210*1.6*J3210))))</f>
        <v>132</v>
      </c>
      <c r="N3210" s="127">
        <f>IF(M3210=0,0,(M3210/J3210))</f>
        <v>0.11301369863013698</v>
      </c>
    </row>
    <row r="3211" spans="2:14">
      <c r="B3211" s="73">
        <v>127568</v>
      </c>
      <c r="C3211" s="73" t="s">
        <v>2288</v>
      </c>
      <c r="D3211" s="133">
        <f>SUMIF(B$3:B$3844,B3211,M$3:M$3844)/(SUMIF(B$3:B$3844,B3211,J$3:J$3844))</f>
        <v>0.2378478459115152</v>
      </c>
      <c r="E3211" s="75">
        <v>34880</v>
      </c>
      <c r="F3211" s="96" t="str">
        <f>"GAINES ALTERNATIVE AT HAMBLEN"</f>
        <v>GAINES ALTERNATIVE AT HAMBLEN</v>
      </c>
      <c r="G3211" s="75"/>
      <c r="H3211" s="75"/>
      <c r="I3211" s="98">
        <v>13</v>
      </c>
      <c r="J3211" s="98">
        <v>26</v>
      </c>
      <c r="K3211" s="76"/>
      <c r="L3211" s="80"/>
      <c r="M3211" s="134">
        <f>IF(L3211="",I3211,(MIN(J3211,(L3211*1.6*J3211))))</f>
        <v>13</v>
      </c>
      <c r="N3211" s="127">
        <f>IF(M3211=0,0,(M3211/J3211))</f>
        <v>0.5</v>
      </c>
    </row>
    <row r="3212" spans="2:14">
      <c r="B3212" s="72">
        <v>127568</v>
      </c>
      <c r="C3212" s="72" t="s">
        <v>2288</v>
      </c>
      <c r="D3212" s="133">
        <f>SUMIF(B$3:B$3844,B3212,M$3:M$3844)/(SUMIF(B$3:B$3844,B3212,J$3:J$3844))</f>
        <v>0.2378478459115152</v>
      </c>
      <c r="E3212" s="74">
        <v>34860</v>
      </c>
      <c r="F3212" s="97" t="str">
        <f>"GAMBLE ROGERS MIDDLE SCHOOL"</f>
        <v>GAMBLE ROGERS MIDDLE SCHOOL</v>
      </c>
      <c r="G3212" s="74"/>
      <c r="H3212" s="74"/>
      <c r="I3212" s="99">
        <v>428</v>
      </c>
      <c r="J3212" s="99">
        <v>840</v>
      </c>
      <c r="K3212" s="76"/>
      <c r="L3212" s="80"/>
      <c r="M3212" s="134">
        <f>IF(L3212="",I3212,(MIN(J3212,(L3212*1.6*J3212))))</f>
        <v>428</v>
      </c>
      <c r="N3212" s="127">
        <f>IF(M3212=0,0,(M3212/J3212))</f>
        <v>0.50952380952380949</v>
      </c>
    </row>
    <row r="3213" spans="2:14">
      <c r="B3213" s="73">
        <v>127568</v>
      </c>
      <c r="C3213" s="73" t="s">
        <v>2288</v>
      </c>
      <c r="D3213" s="133">
        <f>SUMIF(B$3:B$3844,B3213,M$3:M$3844)/(SUMIF(B$3:B$3844,B3213,J$3:J$3844))</f>
        <v>0.2378478459115152</v>
      </c>
      <c r="E3213" s="75">
        <v>16025737</v>
      </c>
      <c r="F3213" s="96" t="s">
        <v>2302</v>
      </c>
      <c r="G3213" s="75"/>
      <c r="H3213" s="75"/>
      <c r="I3213" s="98">
        <v>82</v>
      </c>
      <c r="J3213" s="98">
        <v>622</v>
      </c>
      <c r="K3213" s="76"/>
      <c r="L3213" s="80"/>
      <c r="M3213" s="134">
        <f>IF(L3213="",I3213,(MIN(J3213,(L3213*1.6*J3213))))</f>
        <v>82</v>
      </c>
      <c r="N3213" s="127">
        <f>IF(M3213=0,0,(M3213/J3213))</f>
        <v>0.13183279742765272</v>
      </c>
    </row>
    <row r="3214" spans="2:14">
      <c r="B3214" s="72">
        <v>127568</v>
      </c>
      <c r="C3214" s="72" t="s">
        <v>2288</v>
      </c>
      <c r="D3214" s="133">
        <f>SUMIF(B$3:B$3844,B3214,M$3:M$3844)/(SUMIF(B$3:B$3844,B3214,J$3:J$3844))</f>
        <v>0.2378478459115152</v>
      </c>
      <c r="E3214" s="74">
        <v>35224</v>
      </c>
      <c r="F3214" s="97" t="s">
        <v>2303</v>
      </c>
      <c r="G3214" s="74"/>
      <c r="H3214" s="74"/>
      <c r="I3214" s="99">
        <v>142</v>
      </c>
      <c r="J3214" s="99">
        <v>972</v>
      </c>
      <c r="K3214" s="76"/>
      <c r="L3214" s="80"/>
      <c r="M3214" s="134">
        <f>IF(L3214="",I3214,(MIN(J3214,(L3214*1.6*J3214))))</f>
        <v>142</v>
      </c>
      <c r="N3214" s="127">
        <f>IF(M3214=0,0,(M3214/J3214))</f>
        <v>0.14609053497942387</v>
      </c>
    </row>
    <row r="3215" spans="2:14">
      <c r="B3215" s="73">
        <v>127568</v>
      </c>
      <c r="C3215" s="73" t="s">
        <v>2288</v>
      </c>
      <c r="D3215" s="133">
        <f>SUMIF(B$3:B$3844,B3215,M$3:M$3844)/(SUMIF(B$3:B$3844,B3215,J$3:J$3844))</f>
        <v>0.2378478459115152</v>
      </c>
      <c r="E3215" s="75">
        <v>34853</v>
      </c>
      <c r="F3215" s="96" t="str">
        <f>"KETTERLINUS ELEMENTARY SCHOOL"</f>
        <v>KETTERLINUS ELEMENTARY SCHOOL</v>
      </c>
      <c r="G3215" s="75"/>
      <c r="H3215" s="75"/>
      <c r="I3215" s="98">
        <v>200</v>
      </c>
      <c r="J3215" s="98">
        <v>447</v>
      </c>
      <c r="K3215" s="76"/>
      <c r="L3215" s="80"/>
      <c r="M3215" s="134">
        <f>IF(L3215="",I3215,(MIN(J3215,(L3215*1.6*J3215))))</f>
        <v>200</v>
      </c>
      <c r="N3215" s="127">
        <f>IF(M3215=0,0,(M3215/J3215))</f>
        <v>0.44742729306487694</v>
      </c>
    </row>
    <row r="3216" spans="2:14">
      <c r="B3216" s="72">
        <v>127568</v>
      </c>
      <c r="C3216" s="72" t="s">
        <v>2288</v>
      </c>
      <c r="D3216" s="133">
        <f>SUMIF(B$3:B$3844,B3216,M$3:M$3844)/(SUMIF(B$3:B$3844,B3216,J$3:J$3844))</f>
        <v>0.2378478459115152</v>
      </c>
      <c r="E3216" s="74">
        <v>16044461</v>
      </c>
      <c r="F3216" s="97" t="str">
        <f>"LIBERTY PINES ACADEMY"</f>
        <v>LIBERTY PINES ACADEMY</v>
      </c>
      <c r="G3216" s="74"/>
      <c r="H3216" s="74"/>
      <c r="I3216" s="99">
        <v>161</v>
      </c>
      <c r="J3216" s="99">
        <v>1412</v>
      </c>
      <c r="K3216" s="76"/>
      <c r="L3216" s="80"/>
      <c r="M3216" s="134">
        <f>IF(L3216="",I3216,(MIN(J3216,(L3216*1.6*J3216))))</f>
        <v>161</v>
      </c>
      <c r="N3216" s="127">
        <f>IF(M3216=0,0,(M3216/J3216))</f>
        <v>0.11402266288951841</v>
      </c>
    </row>
    <row r="3217" spans="2:14">
      <c r="B3217" s="73">
        <v>127568</v>
      </c>
      <c r="C3217" s="73" t="s">
        <v>2288</v>
      </c>
      <c r="D3217" s="133">
        <f>SUMIF(B$3:B$3844,B3217,M$3:M$3844)/(SUMIF(B$3:B$3844,B3217,J$3:J$3844))</f>
        <v>0.2378478459115152</v>
      </c>
      <c r="E3217" s="75"/>
      <c r="F3217" s="96" t="str">
        <f>"MAINTENANCE/PURCHASING WAREHSE"</f>
        <v>MAINTENANCE/PURCHASING WAREHSE</v>
      </c>
      <c r="G3217" s="75"/>
      <c r="H3217" s="75"/>
      <c r="I3217" s="98"/>
      <c r="J3217" s="98">
        <v>0</v>
      </c>
      <c r="K3217" s="76"/>
      <c r="L3217" s="80"/>
      <c r="M3217" s="134">
        <f>IF(L3217="",I3217,(MIN(J3217,(L3217*1.6*J3217))))</f>
        <v>0</v>
      </c>
      <c r="N3217" s="127">
        <f>IF(M3217=0,0,(M3217/J3217))</f>
        <v>0</v>
      </c>
    </row>
    <row r="3218" spans="2:14">
      <c r="B3218" s="72">
        <v>127568</v>
      </c>
      <c r="C3218" s="72" t="s">
        <v>2288</v>
      </c>
      <c r="D3218" s="133">
        <f>SUMIF(B$3:B$3844,B3218,M$3:M$3844)/(SUMIF(B$3:B$3844,B3218,J$3:J$3844))</f>
        <v>0.2378478459115152</v>
      </c>
      <c r="E3218" s="74">
        <v>34871</v>
      </c>
      <c r="F3218" s="97" t="str">
        <f>"MILL CREEK ELEMENTARY SCHOOL"</f>
        <v>MILL CREEK ELEMENTARY SCHOOL</v>
      </c>
      <c r="G3218" s="74"/>
      <c r="H3218" s="74"/>
      <c r="I3218" s="99">
        <v>265</v>
      </c>
      <c r="J3218" s="99">
        <v>1096</v>
      </c>
      <c r="K3218" s="76"/>
      <c r="L3218" s="80"/>
      <c r="M3218" s="134">
        <f>IF(L3218="",I3218,(MIN(J3218,(L3218*1.6*J3218))))</f>
        <v>265</v>
      </c>
      <c r="N3218" s="127">
        <f>IF(M3218=0,0,(M3218/J3218))</f>
        <v>0.24178832116788321</v>
      </c>
    </row>
    <row r="3219" spans="2:14">
      <c r="B3219" s="73">
        <v>127568</v>
      </c>
      <c r="C3219" s="73" t="s">
        <v>2288</v>
      </c>
      <c r="D3219" s="133">
        <f>SUMIF(B$3:B$3844,B3219,M$3:M$3844)/(SUMIF(B$3:B$3844,B3219,J$3:J$3844))</f>
        <v>0.2378478459115152</v>
      </c>
      <c r="E3219" s="75">
        <v>34850</v>
      </c>
      <c r="F3219" s="96" t="str">
        <f>"OCEAN PALMS ELEMENTARY SCHOOL"</f>
        <v>OCEAN PALMS ELEMENTARY SCHOOL</v>
      </c>
      <c r="G3219" s="75"/>
      <c r="H3219" s="75"/>
      <c r="I3219" s="98">
        <v>41</v>
      </c>
      <c r="J3219" s="98">
        <v>825</v>
      </c>
      <c r="K3219" s="76"/>
      <c r="L3219" s="80"/>
      <c r="M3219" s="134">
        <f>IF(L3219="",I3219,(MIN(J3219,(L3219*1.6*J3219))))</f>
        <v>41</v>
      </c>
      <c r="N3219" s="127">
        <f>IF(M3219=0,0,(M3219/J3219))</f>
        <v>4.9696969696969698E-2</v>
      </c>
    </row>
    <row r="3220" spans="2:14">
      <c r="B3220" s="72">
        <v>127568</v>
      </c>
      <c r="C3220" s="72" t="s">
        <v>2288</v>
      </c>
      <c r="D3220" s="133">
        <f>SUMIF(B$3:B$3844,B3220,M$3:M$3844)/(SUMIF(B$3:B$3844,B3220,J$3:J$3844))</f>
        <v>0.2378478459115152</v>
      </c>
      <c r="E3220" s="74">
        <v>34873</v>
      </c>
      <c r="F3220" s="97" t="str">
        <f>"OSCEOLA ELEMENTARY SCHOOL"</f>
        <v>OSCEOLA ELEMENTARY SCHOOL</v>
      </c>
      <c r="G3220" s="74"/>
      <c r="H3220" s="74"/>
      <c r="I3220" s="99">
        <v>453</v>
      </c>
      <c r="J3220" s="99">
        <v>657</v>
      </c>
      <c r="K3220" s="76"/>
      <c r="L3220" s="80"/>
      <c r="M3220" s="134">
        <f>IF(L3220="",I3220,(MIN(J3220,(L3220*1.6*J3220))))</f>
        <v>453</v>
      </c>
      <c r="N3220" s="127">
        <f>IF(M3220=0,0,(M3220/J3220))</f>
        <v>0.68949771689497719</v>
      </c>
    </row>
    <row r="3221" spans="2:14">
      <c r="B3221" s="73">
        <v>127568</v>
      </c>
      <c r="C3221" s="75" t="s">
        <v>2288</v>
      </c>
      <c r="D3221" s="133">
        <f>SUMIF(B$3:B$3844,B3221,M$3:M$3844)/(SUMIF(B$3:B$3844,B3221,J$3:J$3844))</f>
        <v>0.2378478459115152</v>
      </c>
      <c r="E3221" s="75">
        <v>34862</v>
      </c>
      <c r="F3221" s="46" t="s">
        <v>2304</v>
      </c>
      <c r="G3221" s="23"/>
      <c r="H3221" s="23"/>
      <c r="I3221" s="41">
        <v>304</v>
      </c>
      <c r="J3221" s="41">
        <v>619</v>
      </c>
      <c r="K3221" s="76"/>
      <c r="L3221" s="80"/>
      <c r="M3221" s="134">
        <f>IF(L3221="",I3221,(MIN(J3221,(L3221*1.6*J3221))))</f>
        <v>304</v>
      </c>
      <c r="N3221" s="127">
        <f>IF(M3221=0,0,(M3221/J3221))</f>
        <v>0.4911147011308562</v>
      </c>
    </row>
    <row r="3222" spans="2:14">
      <c r="B3222" s="72">
        <v>127568</v>
      </c>
      <c r="C3222" s="74" t="s">
        <v>2288</v>
      </c>
      <c r="D3222" s="133">
        <f>SUMIF(B$3:B$3844,B3222,M$3:M$3844)/(SUMIF(B$3:B$3844,B3222,J$3:J$3844))</f>
        <v>0.2378478459115152</v>
      </c>
      <c r="E3222" s="74">
        <v>16044465</v>
      </c>
      <c r="F3222" s="48" t="str">
        <f>"PACETTI BAY MIDDLE SCHOOL"</f>
        <v>PACETTI BAY MIDDLE SCHOOL</v>
      </c>
      <c r="G3222" s="47"/>
      <c r="H3222" s="47"/>
      <c r="I3222" s="40">
        <v>227</v>
      </c>
      <c r="J3222" s="40">
        <v>1223</v>
      </c>
      <c r="K3222" s="76"/>
      <c r="L3222" s="80"/>
      <c r="M3222" s="134">
        <f>IF(L3222="",I3222,(MIN(J3222,(L3222*1.6*J3222))))</f>
        <v>227</v>
      </c>
      <c r="N3222" s="127">
        <f>IF(M3222=0,0,(M3222/J3222))</f>
        <v>0.18560915780866721</v>
      </c>
    </row>
    <row r="3223" spans="2:14">
      <c r="B3223" s="73">
        <v>127568</v>
      </c>
      <c r="C3223" s="75" t="s">
        <v>2288</v>
      </c>
      <c r="D3223" s="133">
        <f>SUMIF(B$3:B$3844,B3223,M$3:M$3844)/(SUMIF(B$3:B$3844,B3223,J$3:J$3844))</f>
        <v>0.2378478459115152</v>
      </c>
      <c r="E3223" s="75">
        <v>16069401</v>
      </c>
      <c r="F3223" s="46" t="str">
        <f>"PALENCIA ELEMENTARY SCHOOL"</f>
        <v>PALENCIA ELEMENTARY SCHOOL</v>
      </c>
      <c r="G3223" s="23"/>
      <c r="H3223" s="23"/>
      <c r="I3223" s="41">
        <v>156</v>
      </c>
      <c r="J3223" s="41">
        <v>710</v>
      </c>
      <c r="K3223" s="76"/>
      <c r="L3223" s="80"/>
      <c r="M3223" s="134">
        <f>IF(L3223="",I3223,(MIN(J3223,(L3223*1.6*J3223))))</f>
        <v>156</v>
      </c>
      <c r="N3223" s="127">
        <f>IF(M3223=0,0,(M3223/J3223))</f>
        <v>0.21971830985915494</v>
      </c>
    </row>
    <row r="3224" spans="2:14">
      <c r="B3224" s="72">
        <v>127568</v>
      </c>
      <c r="C3224" s="74" t="s">
        <v>2288</v>
      </c>
      <c r="D3224" s="133">
        <f>SUMIF(B$3:B$3844,B3224,M$3:M$3844)/(SUMIF(B$3:B$3844,B3224,J$3:J$3844))</f>
        <v>0.2378478459115152</v>
      </c>
      <c r="E3224" s="74">
        <v>205573</v>
      </c>
      <c r="F3224" s="48" t="str">
        <f>"PEDRO MENENDEZ HIGH SCHOOL"</f>
        <v>PEDRO MENENDEZ HIGH SCHOOL</v>
      </c>
      <c r="G3224" s="47"/>
      <c r="H3224" s="47"/>
      <c r="I3224" s="40">
        <v>534</v>
      </c>
      <c r="J3224" s="40">
        <v>1389</v>
      </c>
      <c r="K3224" s="76"/>
      <c r="L3224" s="80"/>
      <c r="M3224" s="134">
        <f>IF(L3224="",I3224,(MIN(J3224,(L3224*1.6*J3224))))</f>
        <v>534</v>
      </c>
      <c r="N3224" s="127">
        <f>IF(M3224=0,0,(M3224/J3224))</f>
        <v>0.38444924406047515</v>
      </c>
    </row>
    <row r="3225" spans="2:14">
      <c r="B3225" s="73">
        <v>127568</v>
      </c>
      <c r="C3225" s="75" t="s">
        <v>2288</v>
      </c>
      <c r="D3225" s="133">
        <f>SUMIF(B$3:B$3844,B3225,M$3:M$3844)/(SUMIF(B$3:B$3844,B3225,J$3:J$3844))</f>
        <v>0.2378478459115152</v>
      </c>
      <c r="E3225" s="75">
        <v>16044462</v>
      </c>
      <c r="F3225" s="46" t="str">
        <f>"PONTE VEDRA HIGH SCHOOL"</f>
        <v>PONTE VEDRA HIGH SCHOOL</v>
      </c>
      <c r="G3225" s="23"/>
      <c r="H3225" s="23"/>
      <c r="I3225" s="41">
        <v>91</v>
      </c>
      <c r="J3225" s="41">
        <v>1629</v>
      </c>
      <c r="K3225" s="76"/>
      <c r="L3225" s="80"/>
      <c r="M3225" s="134">
        <f>IF(L3225="",I3225,(MIN(J3225,(L3225*1.6*J3225))))</f>
        <v>91</v>
      </c>
      <c r="N3225" s="127">
        <f>IF(M3225=0,0,(M3225/J3225))</f>
        <v>5.5862492326580727E-2</v>
      </c>
    </row>
    <row r="3226" spans="2:14" ht="30">
      <c r="B3226" s="72">
        <v>127568</v>
      </c>
      <c r="C3226" s="74" t="s">
        <v>2288</v>
      </c>
      <c r="D3226" s="133">
        <f>SUMIF(B$3:B$3844,B3226,M$3:M$3844)/(SUMIF(B$3:B$3844,B3226,J$3:J$3844))</f>
        <v>0.2378478459115152</v>
      </c>
      <c r="E3226" s="74">
        <v>34848</v>
      </c>
      <c r="F3226" s="48" t="s">
        <v>2305</v>
      </c>
      <c r="G3226" s="47"/>
      <c r="H3226" s="47"/>
      <c r="I3226" s="40">
        <v>123</v>
      </c>
      <c r="J3226" s="40">
        <v>1025</v>
      </c>
      <c r="K3226" s="76"/>
      <c r="L3226" s="80"/>
      <c r="M3226" s="134">
        <f>IF(L3226="",I3226,(MIN(J3226,(L3226*1.6*J3226))))</f>
        <v>123</v>
      </c>
      <c r="N3226" s="127">
        <f>IF(M3226=0,0,(M3226/J3226))</f>
        <v>0.12</v>
      </c>
    </row>
    <row r="3227" spans="2:14">
      <c r="B3227" s="73">
        <v>127568</v>
      </c>
      <c r="C3227" s="75" t="s">
        <v>2288</v>
      </c>
      <c r="D3227" s="133">
        <f>SUMIF(B$3:B$3844,B3227,M$3:M$3844)/(SUMIF(B$3:B$3844,B3227,J$3:J$3844))</f>
        <v>0.2378478459115152</v>
      </c>
      <c r="E3227" s="75">
        <v>34877</v>
      </c>
      <c r="F3227" s="46" t="str">
        <f>"R J MURRAY MIDDLE SCHOOL"</f>
        <v>R J MURRAY MIDDLE SCHOOL</v>
      </c>
      <c r="G3227" s="23"/>
      <c r="H3227" s="23"/>
      <c r="I3227" s="41">
        <v>352</v>
      </c>
      <c r="J3227" s="41">
        <v>708</v>
      </c>
      <c r="K3227" s="76"/>
      <c r="L3227" s="80"/>
      <c r="M3227" s="134">
        <f>IF(L3227="",I3227,(MIN(J3227,(L3227*1.6*J3227))))</f>
        <v>352</v>
      </c>
      <c r="N3227" s="127">
        <f>IF(M3227=0,0,(M3227/J3227))</f>
        <v>0.49717514124293788</v>
      </c>
    </row>
    <row r="3228" spans="2:14">
      <c r="B3228" s="72">
        <v>127568</v>
      </c>
      <c r="C3228" s="74" t="s">
        <v>2288</v>
      </c>
      <c r="D3228" s="133">
        <f>SUMIF(B$3:B$3844,B3228,M$3:M$3844)/(SUMIF(B$3:B$3844,B3228,J$3:J$3844))</f>
        <v>0.2378478459115152</v>
      </c>
      <c r="E3228" s="74">
        <v>34856</v>
      </c>
      <c r="F3228" s="48" t="str">
        <f>"R. B. HUNT ELEMENTARY SCHOOL"</f>
        <v>R. B. HUNT ELEMENTARY SCHOOL</v>
      </c>
      <c r="G3228" s="47"/>
      <c r="H3228" s="47"/>
      <c r="I3228" s="40">
        <v>211</v>
      </c>
      <c r="J3228" s="40">
        <v>658</v>
      </c>
      <c r="K3228" s="76"/>
      <c r="L3228" s="80"/>
      <c r="M3228" s="134">
        <f>IF(L3228="",I3228,(MIN(J3228,(L3228*1.6*J3228))))</f>
        <v>211</v>
      </c>
      <c r="N3228" s="127">
        <f>IF(M3228=0,0,(M3228/J3228))</f>
        <v>0.32066869300911854</v>
      </c>
    </row>
    <row r="3229" spans="2:14">
      <c r="B3229" s="73">
        <v>127568</v>
      </c>
      <c r="C3229" s="75" t="s">
        <v>2288</v>
      </c>
      <c r="D3229" s="133">
        <f>SUMIF(B$3:B$3844,B3229,M$3:M$3844)/(SUMIF(B$3:B$3844,B3229,J$3:J$3844))</f>
        <v>0.2378478459115152</v>
      </c>
      <c r="E3229" s="75">
        <v>34881</v>
      </c>
      <c r="F3229" s="46" t="str">
        <f>"SEBASTIAN MIDDLE SCHOOL"</f>
        <v>SEBASTIAN MIDDLE SCHOOL</v>
      </c>
      <c r="G3229" s="23"/>
      <c r="H3229" s="23"/>
      <c r="I3229" s="41">
        <v>345</v>
      </c>
      <c r="J3229" s="41">
        <v>622</v>
      </c>
      <c r="K3229" s="76"/>
      <c r="L3229" s="80"/>
      <c r="M3229" s="134">
        <f>IF(L3229="",I3229,(MIN(J3229,(L3229*1.6*J3229))))</f>
        <v>345</v>
      </c>
      <c r="N3229" s="127">
        <f>IF(M3229=0,0,(M3229/J3229))</f>
        <v>0.55466237942122187</v>
      </c>
    </row>
    <row r="3230" spans="2:14">
      <c r="B3230" s="72">
        <v>127568</v>
      </c>
      <c r="C3230" s="74" t="s">
        <v>2288</v>
      </c>
      <c r="D3230" s="133">
        <f>SUMIF(B$3:B$3844,B3230,M$3:M$3844)/(SUMIF(B$3:B$3844,B3230,J$3:J$3844))</f>
        <v>0.2378478459115152</v>
      </c>
      <c r="E3230" s="74">
        <v>16025740</v>
      </c>
      <c r="F3230" s="48" t="str">
        <f>"SOUTH WOODS ELEMENTARY SCHOOL"</f>
        <v>SOUTH WOODS ELEMENTARY SCHOOL</v>
      </c>
      <c r="G3230" s="47"/>
      <c r="H3230" s="47"/>
      <c r="I3230" s="40">
        <v>518</v>
      </c>
      <c r="J3230" s="40">
        <v>635</v>
      </c>
      <c r="K3230" s="76"/>
      <c r="L3230" s="80"/>
      <c r="M3230" s="134">
        <f>IF(L3230="",I3230,(MIN(J3230,(L3230*1.6*J3230))))</f>
        <v>518</v>
      </c>
      <c r="N3230" s="127">
        <f>IF(M3230=0,0,(M3230/J3230))</f>
        <v>0.81574803149606301</v>
      </c>
    </row>
    <row r="3231" spans="2:14">
      <c r="B3231" s="73">
        <v>127568</v>
      </c>
      <c r="C3231" s="75" t="s">
        <v>2288</v>
      </c>
      <c r="D3231" s="133">
        <f>SUMIF(B$3:B$3844,B3231,M$3:M$3844)/(SUMIF(B$3:B$3844,B3231,J$3:J$3844))</f>
        <v>0.2378478459115152</v>
      </c>
      <c r="E3231" s="75">
        <v>16038114</v>
      </c>
      <c r="F3231" s="46" t="s">
        <v>2306</v>
      </c>
      <c r="G3231" s="23"/>
      <c r="H3231" s="23"/>
      <c r="I3231" s="41"/>
      <c r="J3231" s="41">
        <v>69</v>
      </c>
      <c r="K3231" s="76"/>
      <c r="L3231" s="80"/>
      <c r="M3231" s="134">
        <f>IF(L3231="",I3231,(MIN(J3231,(L3231*1.6*J3231))))</f>
        <v>0</v>
      </c>
      <c r="N3231" s="127">
        <f>IF(M3231=0,0,(M3231/J3231))</f>
        <v>0</v>
      </c>
    </row>
    <row r="3232" spans="2:14">
      <c r="B3232" s="72">
        <v>127568</v>
      </c>
      <c r="C3232" s="74" t="s">
        <v>2288</v>
      </c>
      <c r="D3232" s="133">
        <f>SUMIF(B$3:B$3844,B3232,M$3:M$3844)/(SUMIF(B$3:B$3844,B3232,J$3:J$3844))</f>
        <v>0.2378478459115152</v>
      </c>
      <c r="E3232" s="74">
        <v>16043300</v>
      </c>
      <c r="F3232" s="48" t="s">
        <v>2307</v>
      </c>
      <c r="G3232" s="47"/>
      <c r="H3232" s="47"/>
      <c r="I3232" s="40">
        <v>23</v>
      </c>
      <c r="J3232" s="40">
        <v>32</v>
      </c>
      <c r="K3232" s="76"/>
      <c r="L3232" s="80"/>
      <c r="M3232" s="134">
        <f>IF(L3232="",I3232,(MIN(J3232,(L3232*1.6*J3232))))</f>
        <v>23</v>
      </c>
      <c r="N3232" s="127">
        <f>IF(M3232=0,0,(M3232/J3232))</f>
        <v>0.71875</v>
      </c>
    </row>
    <row r="3233" spans="2:14">
      <c r="B3233" s="73">
        <v>127568</v>
      </c>
      <c r="C3233" s="75" t="s">
        <v>2288</v>
      </c>
      <c r="D3233" s="133">
        <f>SUMIF(B$3:B$3844,B3233,M$3:M$3844)/(SUMIF(B$3:B$3844,B3233,J$3:J$3844))</f>
        <v>0.2378478459115152</v>
      </c>
      <c r="E3233" s="75">
        <v>34875</v>
      </c>
      <c r="F3233" s="46" t="str">
        <f>"ST. AUGUSTINE HIGH SCHOOL"</f>
        <v>ST. AUGUSTINE HIGH SCHOOL</v>
      </c>
      <c r="G3233" s="23"/>
      <c r="H3233" s="23"/>
      <c r="I3233" s="41">
        <v>718</v>
      </c>
      <c r="J3233" s="41">
        <v>1687</v>
      </c>
      <c r="K3233" s="76"/>
      <c r="L3233" s="80"/>
      <c r="M3233" s="134">
        <f>IF(L3233="",I3233,(MIN(J3233,(L3233*1.6*J3233))))</f>
        <v>718</v>
      </c>
      <c r="N3233" s="127">
        <f>IF(M3233=0,0,(M3233/J3233))</f>
        <v>0.42560758743331356</v>
      </c>
    </row>
    <row r="3234" spans="2:14">
      <c r="B3234" s="72">
        <v>127568</v>
      </c>
      <c r="C3234" s="74" t="s">
        <v>2288</v>
      </c>
      <c r="D3234" s="133">
        <f>SUMIF(B$3:B$3844,B3234,M$3:M$3844)/(SUMIF(B$3:B$3844,B3234,J$3:J$3844))</f>
        <v>0.2378478459115152</v>
      </c>
      <c r="E3234" s="74">
        <v>16025736</v>
      </c>
      <c r="F3234" s="48" t="s">
        <v>2308</v>
      </c>
      <c r="G3234" s="47"/>
      <c r="H3234" s="47"/>
      <c r="I3234" s="40">
        <v>199</v>
      </c>
      <c r="J3234" s="40">
        <v>271</v>
      </c>
      <c r="K3234" s="76"/>
      <c r="L3234" s="80"/>
      <c r="M3234" s="134">
        <f>IF(L3234="",I3234,(MIN(J3234,(L3234*1.6*J3234))))</f>
        <v>199</v>
      </c>
      <c r="N3234" s="127">
        <f>IF(M3234=0,0,(M3234/J3234))</f>
        <v>0.73431734317343178</v>
      </c>
    </row>
    <row r="3235" spans="2:14">
      <c r="B3235" s="73">
        <v>127568</v>
      </c>
      <c r="C3235" s="75" t="s">
        <v>2288</v>
      </c>
      <c r="D3235" s="133">
        <f>SUMIF(B$3:B$3844,B3235,M$3:M$3844)/(SUMIF(B$3:B$3844,B3235,J$3:J$3844))</f>
        <v>0.2378478459115152</v>
      </c>
      <c r="E3235" s="75">
        <v>16068376</v>
      </c>
      <c r="F3235" s="46" t="str">
        <f>"ST. JOHNS VIRTUAL FRANCHISE"</f>
        <v>ST. JOHNS VIRTUAL FRANCHISE</v>
      </c>
      <c r="G3235" s="23"/>
      <c r="H3235" s="23"/>
      <c r="I3235" s="41">
        <v>7</v>
      </c>
      <c r="J3235" s="41">
        <v>121</v>
      </c>
      <c r="K3235" s="76"/>
      <c r="L3235" s="80"/>
      <c r="M3235" s="134">
        <f>IF(L3235="",I3235,(MIN(J3235,(L3235*1.6*J3235))))</f>
        <v>7</v>
      </c>
      <c r="N3235" s="127">
        <f>IF(M3235=0,0,(M3235/J3235))</f>
        <v>5.7851239669421489E-2</v>
      </c>
    </row>
    <row r="3236" spans="2:14">
      <c r="B3236" s="72">
        <v>127568</v>
      </c>
      <c r="C3236" s="74" t="s">
        <v>2288</v>
      </c>
      <c r="D3236" s="133">
        <f>SUMIF(B$3:B$3844,B3236,M$3:M$3844)/(SUMIF(B$3:B$3844,B3236,J$3:J$3844))</f>
        <v>0.2378478459115152</v>
      </c>
      <c r="E3236" s="74">
        <v>16068377</v>
      </c>
      <c r="F3236" s="48" t="s">
        <v>2309</v>
      </c>
      <c r="G3236" s="47"/>
      <c r="H3236" s="47"/>
      <c r="I3236" s="40"/>
      <c r="J3236" s="40" t="s">
        <v>798</v>
      </c>
      <c r="K3236" s="76"/>
      <c r="L3236" s="80"/>
      <c r="M3236" s="134">
        <f>IF(L3236="",I3236,(MIN(J3236,(L3236*1.6*J3236))))</f>
        <v>0</v>
      </c>
      <c r="N3236" s="127">
        <f>IF(M3236=0,0,(M3236/J3236))</f>
        <v>0</v>
      </c>
    </row>
    <row r="3237" spans="2:14">
      <c r="B3237" s="73">
        <v>127568</v>
      </c>
      <c r="C3237" s="75" t="s">
        <v>2288</v>
      </c>
      <c r="D3237" s="133">
        <f>SUMIF(B$3:B$3844,B3237,M$3:M$3844)/(SUMIF(B$3:B$3844,B3237,J$3:J$3844))</f>
        <v>0.2378478459115152</v>
      </c>
      <c r="E3237" s="75">
        <v>35225</v>
      </c>
      <c r="F3237" s="46" t="s">
        <v>2310</v>
      </c>
      <c r="G3237" s="23"/>
      <c r="H3237" s="23"/>
      <c r="I3237" s="41">
        <v>126</v>
      </c>
      <c r="J3237" s="41">
        <v>1227</v>
      </c>
      <c r="K3237" s="76"/>
      <c r="L3237" s="80"/>
      <c r="M3237" s="134">
        <f>IF(L3237="",I3237,(MIN(J3237,(L3237*1.6*J3237))))</f>
        <v>126</v>
      </c>
      <c r="N3237" s="127">
        <f>IF(M3237=0,0,(M3237/J3237))</f>
        <v>0.10268948655256724</v>
      </c>
    </row>
    <row r="3238" spans="2:14">
      <c r="B3238" s="72">
        <v>127568</v>
      </c>
      <c r="C3238" s="74" t="s">
        <v>2288</v>
      </c>
      <c r="D3238" s="133">
        <f>SUMIF(B$3:B$3844,B3238,M$3:M$3844)/(SUMIF(B$3:B$3844,B3238,J$3:J$3844))</f>
        <v>0.2378478459115152</v>
      </c>
      <c r="E3238" s="74">
        <v>34883</v>
      </c>
      <c r="F3238" s="48" t="str">
        <f>"THE WEBSTER SCHOOL"</f>
        <v>THE WEBSTER SCHOOL</v>
      </c>
      <c r="G3238" s="47"/>
      <c r="H3238" s="47"/>
      <c r="I3238" s="40">
        <v>483</v>
      </c>
      <c r="J3238" s="40">
        <v>615</v>
      </c>
      <c r="K3238" s="76"/>
      <c r="L3238" s="80"/>
      <c r="M3238" s="134">
        <f>IF(L3238="",I3238,(MIN(J3238,(L3238*1.6*J3238))))</f>
        <v>483</v>
      </c>
      <c r="N3238" s="127">
        <f>IF(M3238=0,0,(M3238/J3238))</f>
        <v>0.78536585365853662</v>
      </c>
    </row>
    <row r="3239" spans="2:14">
      <c r="B3239" s="72">
        <v>127568</v>
      </c>
      <c r="C3239" s="74" t="s">
        <v>2288</v>
      </c>
      <c r="D3239" s="139">
        <f>SUMIF(B$3:B$3902,B3239,M$3:M$3902)/(SUMIF(B$3:B$3902,B3239,J$3:J$3902))</f>
        <v>0.2378478459115152</v>
      </c>
      <c r="E3239" s="140">
        <v>16081916</v>
      </c>
      <c r="F3239" s="115" t="s">
        <v>2451</v>
      </c>
      <c r="G3239" s="116"/>
      <c r="H3239" s="116"/>
      <c r="I3239" s="40">
        <v>155</v>
      </c>
      <c r="J3239" s="40">
        <v>1435</v>
      </c>
      <c r="K3239" s="135"/>
      <c r="L3239" s="136"/>
      <c r="M3239" s="134">
        <f>IF(L3239="",I3239,(MIN(J3239,(L3239*1.6*J3239))))</f>
        <v>155</v>
      </c>
      <c r="N3239" s="127">
        <f>IF(M3239=0,0,(M3239/J3239))</f>
        <v>0.10801393728222997</v>
      </c>
    </row>
    <row r="3240" spans="2:14">
      <c r="B3240" s="72">
        <v>127568</v>
      </c>
      <c r="C3240" s="74" t="s">
        <v>2288</v>
      </c>
      <c r="D3240" s="139">
        <f>SUMIF(B$3:B$3902,B3240,M$3:M$3902)/(SUMIF(B$3:B$3902,B3240,J$3:J$3902))</f>
        <v>0.2378478459115152</v>
      </c>
      <c r="E3240" s="140">
        <v>16081917</v>
      </c>
      <c r="F3240" s="115" t="s">
        <v>2452</v>
      </c>
      <c r="G3240" s="116"/>
      <c r="H3240" s="116"/>
      <c r="I3240" s="40">
        <v>50</v>
      </c>
      <c r="J3240" s="40">
        <v>1339</v>
      </c>
      <c r="K3240" s="135"/>
      <c r="L3240" s="136"/>
      <c r="M3240" s="134">
        <f>IF(L3240="",I3240,(MIN(J3240,(L3240*1.6*J3240))))</f>
        <v>50</v>
      </c>
      <c r="N3240" s="127">
        <f>IF(M3240=0,0,(M3240/J3240))</f>
        <v>3.7341299477221805E-2</v>
      </c>
    </row>
    <row r="3241" spans="2:14">
      <c r="B3241" s="73">
        <v>127568</v>
      </c>
      <c r="C3241" s="75" t="s">
        <v>2288</v>
      </c>
      <c r="D3241" s="133">
        <f>SUMIF(B$3:B$3844,B3241,M$3:M$3844)/(SUMIF(B$3:B$3844,B3241,J$3:J$3844))</f>
        <v>0.2378478459115152</v>
      </c>
      <c r="E3241" s="75">
        <v>16025738</v>
      </c>
      <c r="F3241" s="46" t="s">
        <v>2311</v>
      </c>
      <c r="G3241" s="23"/>
      <c r="H3241" s="23"/>
      <c r="I3241" s="41">
        <v>75</v>
      </c>
      <c r="J3241" s="41">
        <v>942</v>
      </c>
      <c r="K3241" s="76"/>
      <c r="L3241" s="80"/>
      <c r="M3241" s="134">
        <f>IF(L3241="",I3241,(MIN(J3241,(L3241*1.6*J3241))))</f>
        <v>75</v>
      </c>
      <c r="N3241" s="127">
        <f>IF(M3241=0,0,(M3241/J3241))</f>
        <v>7.9617834394904455E-2</v>
      </c>
    </row>
    <row r="3242" spans="2:14">
      <c r="B3242" s="72">
        <v>127568</v>
      </c>
      <c r="C3242" s="74" t="s">
        <v>2288</v>
      </c>
      <c r="D3242" s="133">
        <f>SUMIF(B$3:B$3844,B3242,M$3:M$3844)/(SUMIF(B$3:B$3844,B3242,J$3:J$3844))</f>
        <v>0.2378478459115152</v>
      </c>
      <c r="E3242" s="74">
        <v>34861</v>
      </c>
      <c r="F3242" s="48" t="str">
        <f>"W. DOUGLAS HARTLEY ELEMENTARY"</f>
        <v>W. DOUGLAS HARTLEY ELEMENTARY</v>
      </c>
      <c r="G3242" s="47"/>
      <c r="H3242" s="47"/>
      <c r="I3242" s="40">
        <v>298</v>
      </c>
      <c r="J3242" s="40">
        <v>689</v>
      </c>
      <c r="K3242" s="76"/>
      <c r="L3242" s="80"/>
      <c r="M3242" s="134">
        <f>IF(L3242="",I3242,(MIN(J3242,(L3242*1.6*J3242))))</f>
        <v>298</v>
      </c>
      <c r="N3242" s="127">
        <f>IF(M3242=0,0,(M3242/J3242))</f>
        <v>0.43251088534107401</v>
      </c>
    </row>
    <row r="3243" spans="2:14">
      <c r="B3243" s="73">
        <v>127568</v>
      </c>
      <c r="C3243" s="75" t="s">
        <v>2288</v>
      </c>
      <c r="D3243" s="133">
        <f>SUMIF(B$3:B$3844,B3243,M$3:M$3844)/(SUMIF(B$3:B$3844,B3243,J$3:J$3844))</f>
        <v>0.2378478459115152</v>
      </c>
      <c r="E3243" s="75">
        <v>16044464</v>
      </c>
      <c r="F3243" s="46" t="str">
        <f>"WARDS CREEK ELEMENTARY SCHOOL"</f>
        <v>WARDS CREEK ELEMENTARY SCHOOL</v>
      </c>
      <c r="G3243" s="23"/>
      <c r="H3243" s="23"/>
      <c r="I3243" s="41">
        <v>186</v>
      </c>
      <c r="J3243" s="41">
        <v>896</v>
      </c>
      <c r="K3243" s="76"/>
      <c r="L3243" s="80"/>
      <c r="M3243" s="134">
        <f>IF(L3243="",I3243,(MIN(J3243,(L3243*1.6*J3243))))</f>
        <v>186</v>
      </c>
      <c r="N3243" s="127">
        <f>IF(M3243=0,0,(M3243/J3243))</f>
        <v>0.20758928571428573</v>
      </c>
    </row>
    <row r="3244" spans="2:14">
      <c r="B3244" s="73">
        <v>127892</v>
      </c>
      <c r="C3244" s="75" t="str">
        <f>"ST. LUCIE"</f>
        <v>ST. LUCIE</v>
      </c>
      <c r="D3244" s="133">
        <f>SUMIF(B$3:B$3844,B3244,M$3:M$3844)/(SUMIF(B$3:B$3844,B3244,J$3:J$3844))</f>
        <v>0.73046589153589725</v>
      </c>
      <c r="E3244" s="75">
        <v>16040210</v>
      </c>
      <c r="F3244" s="46" t="str">
        <f>"ALLAPATTAH FLATS K-8"</f>
        <v>ALLAPATTAH FLATS K-8</v>
      </c>
      <c r="G3244" s="23"/>
      <c r="H3244" s="23"/>
      <c r="I3244" s="41">
        <v>757</v>
      </c>
      <c r="J3244" s="41">
        <v>978</v>
      </c>
      <c r="K3244" s="108"/>
      <c r="L3244" s="108"/>
      <c r="M3244" s="134">
        <f>IF(L3244="",I3244,(MIN(J3244,(L3244*1.6*J3244))))</f>
        <v>757</v>
      </c>
      <c r="N3244" s="127">
        <f>IF(M3244=0,0,(M3244/J3244))</f>
        <v>0.77402862985685073</v>
      </c>
    </row>
    <row r="3245" spans="2:14">
      <c r="B3245" s="72">
        <v>127892</v>
      </c>
      <c r="C3245" s="74" t="str">
        <f>"ST. LUCIE"</f>
        <v>ST. LUCIE</v>
      </c>
      <c r="D3245" s="133">
        <f>SUMIF(B$3:B$3844,B3245,M$3:M$3844)/(SUMIF(B$3:B$3844,B3245,J$3:J$3844))</f>
        <v>0.73046589153589725</v>
      </c>
      <c r="E3245" s="74">
        <v>38870</v>
      </c>
      <c r="F3245" s="48" t="str">
        <f>"BAYSHORE ELEMENTARY SCHOOL"</f>
        <v>BAYSHORE ELEMENTARY SCHOOL</v>
      </c>
      <c r="G3245" s="47"/>
      <c r="H3245" s="47"/>
      <c r="I3245" s="40">
        <v>517</v>
      </c>
      <c r="J3245" s="40">
        <v>706</v>
      </c>
      <c r="K3245" s="108"/>
      <c r="L3245" s="108"/>
      <c r="M3245" s="134">
        <f>IF(L3245="",I3245,(MIN(J3245,(L3245*1.6*J3245))))</f>
        <v>517</v>
      </c>
      <c r="N3245" s="127">
        <f>IF(M3245=0,0,(M3245/J3245))</f>
        <v>0.73229461756373937</v>
      </c>
    </row>
    <row r="3246" spans="2:14">
      <c r="B3246" s="73">
        <v>127892</v>
      </c>
      <c r="C3246" s="75" t="str">
        <f>"ST. LUCIE"</f>
        <v>ST. LUCIE</v>
      </c>
      <c r="D3246" s="133">
        <f>SUMIF(B$3:B$3844,B3246,M$3:M$3844)/(SUMIF(B$3:B$3844,B3246,J$3:J$3844))</f>
        <v>0.73046589153589725</v>
      </c>
      <c r="E3246" s="75">
        <v>38805</v>
      </c>
      <c r="F3246" s="46" t="s">
        <v>1449</v>
      </c>
      <c r="G3246" s="23"/>
      <c r="H3246" s="23"/>
      <c r="I3246" s="41"/>
      <c r="J3246" s="41">
        <v>635</v>
      </c>
      <c r="K3246" s="108">
        <v>2014</v>
      </c>
      <c r="L3246" s="108">
        <v>81.61</v>
      </c>
      <c r="M3246" s="134">
        <f>IF(L3246="",I3246,(MIN(J3246,(L3246*1.6*J3246))))</f>
        <v>635</v>
      </c>
      <c r="N3246" s="127">
        <f>IF(M3246=0,0,(M3246/J3246))</f>
        <v>1</v>
      </c>
    </row>
    <row r="3247" spans="2:14">
      <c r="B3247" s="72">
        <v>127892</v>
      </c>
      <c r="C3247" s="74" t="str">
        <f>"ST. LUCIE"</f>
        <v>ST. LUCIE</v>
      </c>
      <c r="D3247" s="133">
        <f>SUMIF(B$3:B$3844,B3247,M$3:M$3844)/(SUMIF(B$3:B$3844,B3247,J$3:J$3844))</f>
        <v>0.73046589153589725</v>
      </c>
      <c r="E3247" s="74">
        <v>16021966</v>
      </c>
      <c r="F3247" s="48" t="str">
        <f>"DALE CASSENS EDUCATION COMPLEX"</f>
        <v>DALE CASSENS EDUCATION COMPLEX</v>
      </c>
      <c r="G3247" s="47"/>
      <c r="H3247" s="47"/>
      <c r="I3247" s="40"/>
      <c r="J3247" s="40">
        <v>240</v>
      </c>
      <c r="K3247" s="108">
        <v>2014</v>
      </c>
      <c r="L3247" s="108">
        <v>77.739999999999995</v>
      </c>
      <c r="M3247" s="134">
        <f>IF(L3247="",I3247,(MIN(J3247,(L3247*1.6*J3247))))</f>
        <v>240</v>
      </c>
      <c r="N3247" s="127">
        <f>IF(M3247=0,0,(M3247/J3247))</f>
        <v>1</v>
      </c>
    </row>
    <row r="3248" spans="2:14">
      <c r="B3248" s="73">
        <v>127892</v>
      </c>
      <c r="C3248" s="75" t="str">
        <f>"ST. LUCIE"</f>
        <v>ST. LUCIE</v>
      </c>
      <c r="D3248" s="133">
        <f>SUMIF(B$3:B$3844,B3248,M$3:M$3844)/(SUMIF(B$3:B$3844,B3248,J$3:J$3844))</f>
        <v>0.73046589153589725</v>
      </c>
      <c r="E3248" s="75">
        <v>38819</v>
      </c>
      <c r="F3248" s="46" t="str">
        <f>"DAN MCCARTY MIDDLE SCHOOL"</f>
        <v>DAN MCCARTY MIDDLE SCHOOL</v>
      </c>
      <c r="G3248" s="23"/>
      <c r="H3248" s="23"/>
      <c r="I3248" s="41"/>
      <c r="J3248" s="41">
        <v>598</v>
      </c>
      <c r="K3248" s="108">
        <v>2014</v>
      </c>
      <c r="L3248" s="108">
        <v>69.08</v>
      </c>
      <c r="M3248" s="134">
        <f>IF(L3248="",I3248,(MIN(J3248,(L3248*1.6*J3248))))</f>
        <v>598</v>
      </c>
      <c r="N3248" s="127">
        <f>IF(M3248=0,0,(M3248/J3248))</f>
        <v>1</v>
      </c>
    </row>
    <row r="3249" spans="2:14">
      <c r="B3249" s="72">
        <v>127892</v>
      </c>
      <c r="C3249" s="74" t="str">
        <f>"ST. LUCIE"</f>
        <v>ST. LUCIE</v>
      </c>
      <c r="D3249" s="133">
        <f>SUMIF(B$3:B$3844,B3249,M$3:M$3844)/(SUMIF(B$3:B$3844,B3249,J$3:J$3844))</f>
        <v>0.73046589153589725</v>
      </c>
      <c r="E3249" s="74">
        <v>205983</v>
      </c>
      <c r="F3249" s="48" t="str">
        <f>"DATA HOUSE"</f>
        <v>DATA HOUSE</v>
      </c>
      <c r="G3249" s="47"/>
      <c r="H3249" s="47"/>
      <c r="I3249" s="40">
        <v>4</v>
      </c>
      <c r="J3249" s="40">
        <v>13</v>
      </c>
      <c r="K3249" s="108"/>
      <c r="L3249" s="108"/>
      <c r="M3249" s="134">
        <f>IF(L3249="",I3249,(MIN(J3249,(L3249*1.6*J3249))))</f>
        <v>4</v>
      </c>
      <c r="N3249" s="127">
        <f>IF(M3249=0,0,(M3249/J3249))</f>
        <v>0.30769230769230771</v>
      </c>
    </row>
    <row r="3250" spans="2:14">
      <c r="B3250" s="73">
        <v>127892</v>
      </c>
      <c r="C3250" s="75" t="str">
        <f>"ST. LUCIE"</f>
        <v>ST. LUCIE</v>
      </c>
      <c r="D3250" s="133">
        <f>SUMIF(B$3:B$3844,B3250,M$3:M$3844)/(SUMIF(B$3:B$3844,B3250,J$3:J$3844))</f>
        <v>0.73046589153589725</v>
      </c>
      <c r="E3250" s="75">
        <v>16077194</v>
      </c>
      <c r="F3250" s="46" t="str">
        <f>"DELAWARE AVE COMPLEX"</f>
        <v>DELAWARE AVE COMPLEX</v>
      </c>
      <c r="G3250" s="23"/>
      <c r="H3250" s="23"/>
      <c r="I3250" s="41"/>
      <c r="J3250" s="41" t="str">
        <f>"0"</f>
        <v>0</v>
      </c>
      <c r="K3250" s="108"/>
      <c r="L3250" s="108"/>
      <c r="M3250" s="134">
        <f>IF(L3250="",I3250,(MIN(J3250,(L3250*1.6*J3250))))</f>
        <v>0</v>
      </c>
      <c r="N3250" s="127">
        <f>IF(M3250=0,0,(M3250/J3250))</f>
        <v>0</v>
      </c>
    </row>
    <row r="3251" spans="2:14">
      <c r="B3251" s="72">
        <v>127892</v>
      </c>
      <c r="C3251" s="74" t="str">
        <f>"ST. LUCIE"</f>
        <v>ST. LUCIE</v>
      </c>
      <c r="D3251" s="133">
        <f>SUMIF(B$3:B$3844,B3251,M$3:M$3844)/(SUMIF(B$3:B$3844,B3251,J$3:J$3844))</f>
        <v>0.73046589153589725</v>
      </c>
      <c r="E3251" s="74">
        <v>16045935</v>
      </c>
      <c r="F3251" s="48" t="str">
        <f>"EAST COUNTY COMPLEX"</f>
        <v>EAST COUNTY COMPLEX</v>
      </c>
      <c r="G3251" s="47"/>
      <c r="H3251" s="47"/>
      <c r="I3251" s="40"/>
      <c r="J3251" s="40" t="str">
        <f>"0"</f>
        <v>0</v>
      </c>
      <c r="K3251" s="108"/>
      <c r="L3251" s="108"/>
      <c r="M3251" s="134">
        <f>IF(L3251="",I3251,(MIN(J3251,(L3251*1.6*J3251))))</f>
        <v>0</v>
      </c>
      <c r="N3251" s="127">
        <f>IF(M3251=0,0,(M3251/J3251))</f>
        <v>0</v>
      </c>
    </row>
    <row r="3252" spans="2:14">
      <c r="B3252" s="73">
        <v>127892</v>
      </c>
      <c r="C3252" s="75" t="str">
        <f>"ST. LUCIE"</f>
        <v>ST. LUCIE</v>
      </c>
      <c r="D3252" s="133">
        <f>SUMIF(B$3:B$3844,B3252,M$3:M$3844)/(SUMIF(B$3:B$3844,B3252,J$3:J$3844))</f>
        <v>0.73046589153589725</v>
      </c>
      <c r="E3252" s="75">
        <v>38804</v>
      </c>
      <c r="F3252" s="46" t="str">
        <f>"FAIRLAWN ELEMENTARY SCHOOL"</f>
        <v>FAIRLAWN ELEMENTARY SCHOOL</v>
      </c>
      <c r="G3252" s="23"/>
      <c r="H3252" s="23"/>
      <c r="I3252" s="41">
        <v>376</v>
      </c>
      <c r="J3252" s="41">
        <v>637</v>
      </c>
      <c r="K3252" s="108"/>
      <c r="L3252" s="108"/>
      <c r="M3252" s="134">
        <f>IF(L3252="",I3252,(MIN(J3252,(L3252*1.6*J3252))))</f>
        <v>376</v>
      </c>
      <c r="N3252" s="127">
        <f>IF(M3252=0,0,(M3252/J3252))</f>
        <v>0.59026687598116168</v>
      </c>
    </row>
    <row r="3253" spans="2:14">
      <c r="B3253" s="72">
        <v>127892</v>
      </c>
      <c r="C3253" s="74" t="str">
        <f>"ST. LUCIE"</f>
        <v>ST. LUCIE</v>
      </c>
      <c r="D3253" s="133">
        <f>SUMIF(B$3:B$3844,B3253,M$3:M$3844)/(SUMIF(B$3:B$3844,B3253,J$3:J$3844))</f>
        <v>0.73046589153589725</v>
      </c>
      <c r="E3253" s="74">
        <v>38866</v>
      </c>
      <c r="F3253" s="48" t="str">
        <f>"FLORESTA ELEMENTARY SCHOOL"</f>
        <v>FLORESTA ELEMENTARY SCHOOL</v>
      </c>
      <c r="G3253" s="47"/>
      <c r="H3253" s="47"/>
      <c r="I3253" s="40">
        <v>465</v>
      </c>
      <c r="J3253" s="40">
        <v>627</v>
      </c>
      <c r="K3253" s="108"/>
      <c r="L3253" s="108"/>
      <c r="M3253" s="134">
        <f>IF(L3253="",I3253,(MIN(J3253,(L3253*1.6*J3253))))</f>
        <v>465</v>
      </c>
      <c r="N3253" s="127">
        <f>IF(M3253=0,0,(M3253/J3253))</f>
        <v>0.74162679425837319</v>
      </c>
    </row>
    <row r="3254" spans="2:14">
      <c r="B3254" s="73">
        <v>127892</v>
      </c>
      <c r="C3254" s="75" t="str">
        <f>"ST. LUCIE"</f>
        <v>ST. LUCIE</v>
      </c>
      <c r="D3254" s="133">
        <f>SUMIF(B$3:B$3844,B3254,M$3:M$3844)/(SUMIF(B$3:B$3844,B3254,J$3:J$3844))</f>
        <v>0.73046589153589725</v>
      </c>
      <c r="E3254" s="75">
        <v>38856</v>
      </c>
      <c r="F3254" s="46" t="str">
        <f>"FOREST GROVE MIDDLE SCHOOL"</f>
        <v>FOREST GROVE MIDDLE SCHOOL</v>
      </c>
      <c r="G3254" s="23"/>
      <c r="H3254" s="23"/>
      <c r="I3254" s="41"/>
      <c r="J3254" s="41">
        <v>799</v>
      </c>
      <c r="K3254" s="108">
        <v>2014</v>
      </c>
      <c r="L3254" s="108">
        <v>64.45</v>
      </c>
      <c r="M3254" s="134">
        <f>IF(L3254="",I3254,(MIN(J3254,(L3254*1.6*J3254))))</f>
        <v>799</v>
      </c>
      <c r="N3254" s="127">
        <f>IF(M3254=0,0,(M3254/J3254))</f>
        <v>1</v>
      </c>
    </row>
    <row r="3255" spans="2:14">
      <c r="B3255" s="72">
        <v>127892</v>
      </c>
      <c r="C3255" s="74" t="str">
        <f>"ST. LUCIE"</f>
        <v>ST. LUCIE</v>
      </c>
      <c r="D3255" s="133">
        <f>SUMIF(B$3:B$3844,B3255,M$3:M$3844)/(SUMIF(B$3:B$3844,B3255,J$3:J$3844))</f>
        <v>0.73046589153589725</v>
      </c>
      <c r="E3255" s="74">
        <v>38858</v>
      </c>
      <c r="F3255" s="48" t="s">
        <v>1450</v>
      </c>
      <c r="G3255" s="47"/>
      <c r="H3255" s="47"/>
      <c r="I3255" s="40">
        <v>1768</v>
      </c>
      <c r="J3255" s="40">
        <v>2727</v>
      </c>
      <c r="K3255" s="108"/>
      <c r="L3255" s="108"/>
      <c r="M3255" s="134">
        <f>IF(L3255="",I3255,(MIN(J3255,(L3255*1.6*J3255))))</f>
        <v>1768</v>
      </c>
      <c r="N3255" s="127">
        <f>IF(M3255=0,0,(M3255/J3255))</f>
        <v>0.64833149981664828</v>
      </c>
    </row>
    <row r="3256" spans="2:14">
      <c r="B3256" s="73">
        <v>127892</v>
      </c>
      <c r="C3256" s="75" t="str">
        <f>"ST. LUCIE"</f>
        <v>ST. LUCIE</v>
      </c>
      <c r="D3256" s="133">
        <f>SUMIF(B$3:B$3844,B3256,M$3:M$3844)/(SUMIF(B$3:B$3844,B3256,J$3:J$3844))</f>
        <v>0.73046589153589725</v>
      </c>
      <c r="E3256" s="75">
        <v>201803</v>
      </c>
      <c r="F3256" s="46" t="s">
        <v>1451</v>
      </c>
      <c r="G3256" s="23"/>
      <c r="H3256" s="23"/>
      <c r="I3256" s="41">
        <v>349</v>
      </c>
      <c r="J3256" s="41">
        <v>428</v>
      </c>
      <c r="K3256" s="108"/>
      <c r="L3256" s="108"/>
      <c r="M3256" s="134">
        <f>IF(L3256="",I3256,(MIN(J3256,(L3256*1.6*J3256))))</f>
        <v>349</v>
      </c>
      <c r="N3256" s="127">
        <f>IF(M3256=0,0,(M3256/J3256))</f>
        <v>0.81542056074766356</v>
      </c>
    </row>
    <row r="3257" spans="2:14">
      <c r="B3257" s="72">
        <v>127892</v>
      </c>
      <c r="C3257" s="74" t="str">
        <f>"ST. LUCIE"</f>
        <v>ST. LUCIE</v>
      </c>
      <c r="D3257" s="133">
        <f>SUMIF(B$3:B$3844,B3257,M$3:M$3844)/(SUMIF(B$3:B$3844,B3257,J$3:J$3844))</f>
        <v>0.73046589153589725</v>
      </c>
      <c r="E3257" s="74">
        <v>38808</v>
      </c>
      <c r="F3257" s="48" t="s">
        <v>1452</v>
      </c>
      <c r="G3257" s="47"/>
      <c r="H3257" s="47" t="s">
        <v>1453</v>
      </c>
      <c r="I3257" s="40">
        <v>1188</v>
      </c>
      <c r="J3257" s="40">
        <v>1534</v>
      </c>
      <c r="K3257" s="108"/>
      <c r="L3257" s="108"/>
      <c r="M3257" s="134">
        <f>IF(L3257="",I3257,(MIN(J3257,(L3257*1.6*J3257))))</f>
        <v>1188</v>
      </c>
      <c r="N3257" s="127">
        <f>IF(M3257=0,0,(M3257/J3257))</f>
        <v>0.77444589308996092</v>
      </c>
    </row>
    <row r="3258" spans="2:14">
      <c r="B3258" s="73">
        <v>127892</v>
      </c>
      <c r="C3258" s="75" t="str">
        <f>"ST. LUCIE"</f>
        <v>ST. LUCIE</v>
      </c>
      <c r="D3258" s="133">
        <f>SUMIF(B$3:B$3844,B3258,M$3:M$3844)/(SUMIF(B$3:B$3844,B3258,J$3:J$3844))</f>
        <v>0.73046589153589725</v>
      </c>
      <c r="E3258" s="75">
        <v>38811</v>
      </c>
      <c r="F3258" s="46" t="s">
        <v>1454</v>
      </c>
      <c r="G3258" s="23"/>
      <c r="H3258" s="23"/>
      <c r="I3258" s="41">
        <v>445</v>
      </c>
      <c r="J3258" s="41">
        <v>628</v>
      </c>
      <c r="K3258" s="108"/>
      <c r="L3258" s="108"/>
      <c r="M3258" s="134">
        <f>IF(L3258="",I3258,(MIN(J3258,(L3258*1.6*J3258))))</f>
        <v>445</v>
      </c>
      <c r="N3258" s="127">
        <f>IF(M3258=0,0,(M3258/J3258))</f>
        <v>0.70859872611464969</v>
      </c>
    </row>
    <row r="3259" spans="2:14">
      <c r="B3259" s="72">
        <v>127892</v>
      </c>
      <c r="C3259" s="74" t="str">
        <f>"ST. LUCIE"</f>
        <v>ST. LUCIE</v>
      </c>
      <c r="D3259" s="133">
        <f>SUMIF(B$3:B$3844,B3259,M$3:M$3844)/(SUMIF(B$3:B$3844,B3259,J$3:J$3844))</f>
        <v>0.73046589153589725</v>
      </c>
      <c r="E3259" s="74">
        <v>16077193</v>
      </c>
      <c r="F3259" s="48" t="str">
        <f>"GARDEN CITY COMPLEX"</f>
        <v>GARDEN CITY COMPLEX</v>
      </c>
      <c r="G3259" s="47"/>
      <c r="H3259" s="47"/>
      <c r="I3259" s="40"/>
      <c r="J3259" s="40" t="str">
        <f>"0"</f>
        <v>0</v>
      </c>
      <c r="K3259" s="108"/>
      <c r="L3259" s="108"/>
      <c r="M3259" s="134">
        <f>IF(L3259="",I3259,(MIN(J3259,(L3259*1.6*J3259))))</f>
        <v>0</v>
      </c>
      <c r="N3259" s="127">
        <f>IF(M3259=0,0,(M3259/J3259))</f>
        <v>0</v>
      </c>
    </row>
    <row r="3260" spans="2:14">
      <c r="B3260" s="73">
        <v>127892</v>
      </c>
      <c r="C3260" s="75" t="str">
        <f>"ST. LUCIE"</f>
        <v>ST. LUCIE</v>
      </c>
      <c r="D3260" s="133">
        <f>SUMIF(B$3:B$3844,B3260,M$3:M$3844)/(SUMIF(B$3:B$3844,B3260,J$3:J$3844))</f>
        <v>0.73046589153589725</v>
      </c>
      <c r="E3260" s="75">
        <v>16082481</v>
      </c>
      <c r="F3260" s="46" t="str">
        <f>"HOMEBOUND PROGRAM"</f>
        <v>HOMEBOUND PROGRAM</v>
      </c>
      <c r="G3260" s="23"/>
      <c r="H3260" s="23"/>
      <c r="I3260" s="41"/>
      <c r="J3260" s="41" t="s">
        <v>798</v>
      </c>
      <c r="K3260" s="108"/>
      <c r="L3260" s="108"/>
      <c r="M3260" s="134">
        <f>IF(L3260="",I3260,(MIN(J3260,(L3260*1.6*J3260))))</f>
        <v>0</v>
      </c>
      <c r="N3260" s="127">
        <f>IF(M3260=0,0,(M3260/J3260))</f>
        <v>0</v>
      </c>
    </row>
    <row r="3261" spans="2:14">
      <c r="B3261" s="72">
        <v>127892</v>
      </c>
      <c r="C3261" s="74" t="str">
        <f>"ST. LUCIE"</f>
        <v>ST. LUCIE</v>
      </c>
      <c r="D3261" s="133">
        <f>SUMIF(B$3:B$3844,B3261,M$3:M$3844)/(SUMIF(B$3:B$3844,B3261,J$3:J$3844))</f>
        <v>0.73046589153589725</v>
      </c>
      <c r="E3261" s="74">
        <v>38821</v>
      </c>
      <c r="F3261" s="48" t="s">
        <v>1455</v>
      </c>
      <c r="G3261" s="47"/>
      <c r="H3261" s="47"/>
      <c r="I3261" s="40"/>
      <c r="J3261" s="40">
        <v>703</v>
      </c>
      <c r="K3261" s="108">
        <v>2014</v>
      </c>
      <c r="L3261" s="108">
        <v>67.95</v>
      </c>
      <c r="M3261" s="134">
        <f>IF(L3261="",I3261,(MIN(J3261,(L3261*1.6*J3261))))</f>
        <v>703</v>
      </c>
      <c r="N3261" s="127">
        <f>IF(M3261=0,0,(M3261/J3261))</f>
        <v>1</v>
      </c>
    </row>
    <row r="3262" spans="2:14">
      <c r="B3262" s="73">
        <v>127892</v>
      </c>
      <c r="C3262" s="75" t="str">
        <f>"ST. LUCIE"</f>
        <v>ST. LUCIE</v>
      </c>
      <c r="D3262" s="133">
        <f>SUMIF(B$3:B$3844,B3262,M$3:M$3844)/(SUMIF(B$3:B$3844,B3262,J$3:J$3844))</f>
        <v>0.73046589153589725</v>
      </c>
      <c r="E3262" s="75">
        <v>38814</v>
      </c>
      <c r="F3262" s="46" t="str">
        <f>"LAWNWOOD ELEMENTARY SCHOOL"</f>
        <v>LAWNWOOD ELEMENTARY SCHOOL</v>
      </c>
      <c r="G3262" s="23"/>
      <c r="H3262" s="23"/>
      <c r="I3262" s="41"/>
      <c r="J3262" s="41">
        <v>691</v>
      </c>
      <c r="K3262" s="108">
        <v>2014</v>
      </c>
      <c r="L3262" s="108">
        <v>67.739999999999995</v>
      </c>
      <c r="M3262" s="134">
        <f>IF(L3262="",I3262,(MIN(J3262,(L3262*1.6*J3262))))</f>
        <v>691</v>
      </c>
      <c r="N3262" s="127">
        <f>IF(M3262=0,0,(M3262/J3262))</f>
        <v>1</v>
      </c>
    </row>
    <row r="3263" spans="2:14">
      <c r="B3263" s="72">
        <v>127892</v>
      </c>
      <c r="C3263" s="74" t="str">
        <f>"ST. LUCIE"</f>
        <v>ST. LUCIE</v>
      </c>
      <c r="D3263" s="133">
        <f>SUMIF(B$3:B$3844,B3263,M$3:M$3844)/(SUMIF(B$3:B$3844,B3263,J$3:J$3844))</f>
        <v>0.73046589153589725</v>
      </c>
      <c r="E3263" s="74">
        <v>38817</v>
      </c>
      <c r="F3263" s="48" t="str">
        <f>"LINCOLN PARK ACADEMY"</f>
        <v>LINCOLN PARK ACADEMY</v>
      </c>
      <c r="G3263" s="47"/>
      <c r="H3263" s="47"/>
      <c r="I3263" s="40">
        <v>844</v>
      </c>
      <c r="J3263" s="40">
        <v>1797</v>
      </c>
      <c r="K3263" s="108"/>
      <c r="L3263" s="108"/>
      <c r="M3263" s="134">
        <f>IF(L3263="",I3263,(MIN(J3263,(L3263*1.6*J3263))))</f>
        <v>844</v>
      </c>
      <c r="N3263" s="127">
        <f>IF(M3263=0,0,(M3263/J3263))</f>
        <v>0.46967167501391205</v>
      </c>
    </row>
    <row r="3264" spans="2:14">
      <c r="B3264" s="73">
        <v>127892</v>
      </c>
      <c r="C3264" s="75" t="str">
        <f>"ST. LUCIE"</f>
        <v>ST. LUCIE</v>
      </c>
      <c r="D3264" s="133">
        <f>SUMIF(B$3:B$3844,B3264,M$3:M$3844)/(SUMIF(B$3:B$3844,B3264,J$3:J$3844))</f>
        <v>0.73046589153589725</v>
      </c>
      <c r="E3264" s="75">
        <v>38871</v>
      </c>
      <c r="F3264" s="46" t="str">
        <f>"MANATEE ACADEMY K-8"</f>
        <v>MANATEE ACADEMY K-8</v>
      </c>
      <c r="G3264" s="23"/>
      <c r="H3264" s="23"/>
      <c r="I3264" s="41">
        <v>922</v>
      </c>
      <c r="J3264" s="41">
        <v>1374</v>
      </c>
      <c r="K3264" s="108"/>
      <c r="L3264" s="108"/>
      <c r="M3264" s="134">
        <f>IF(L3264="",I3264,(MIN(J3264,(L3264*1.6*J3264))))</f>
        <v>922</v>
      </c>
      <c r="N3264" s="127">
        <f>IF(M3264=0,0,(M3264/J3264))</f>
        <v>0.67103347889374088</v>
      </c>
    </row>
    <row r="3265" spans="2:14">
      <c r="B3265" s="72">
        <v>127892</v>
      </c>
      <c r="C3265" s="74" t="str">
        <f>"ST. LUCIE"</f>
        <v>ST. LUCIE</v>
      </c>
      <c r="D3265" s="133">
        <f>SUMIF(B$3:B$3844,B3265,M$3:M$3844)/(SUMIF(B$3:B$3844,B3265,J$3:J$3844))</f>
        <v>0.73046589153589725</v>
      </c>
      <c r="E3265" s="74">
        <v>38827</v>
      </c>
      <c r="F3265" s="48" t="str">
        <f>"MARIPOSA ELEMENTARY SCHOOL"</f>
        <v>MARIPOSA ELEMENTARY SCHOOL</v>
      </c>
      <c r="G3265" s="47"/>
      <c r="H3265" s="47"/>
      <c r="I3265" s="40">
        <v>542</v>
      </c>
      <c r="J3265" s="40">
        <v>727</v>
      </c>
      <c r="K3265" s="108"/>
      <c r="L3265" s="108"/>
      <c r="M3265" s="134">
        <f>IF(L3265="",I3265,(MIN(J3265,(L3265*1.6*J3265))))</f>
        <v>542</v>
      </c>
      <c r="N3265" s="127">
        <f>IF(M3265=0,0,(M3265/J3265))</f>
        <v>0.74552957359009631</v>
      </c>
    </row>
    <row r="3266" spans="2:14">
      <c r="B3266" s="73">
        <v>127892</v>
      </c>
      <c r="C3266" s="75" t="str">
        <f>"ST. LUCIE"</f>
        <v>ST. LUCIE</v>
      </c>
      <c r="D3266" s="133">
        <f>SUMIF(B$3:B$3844,B3266,M$3:M$3844)/(SUMIF(B$3:B$3844,B3266,J$3:J$3844))</f>
        <v>0.73046589153589725</v>
      </c>
      <c r="E3266" s="75">
        <v>16027327</v>
      </c>
      <c r="F3266" s="46" t="str">
        <f>"MEANS COURT"</f>
        <v>MEANS COURT</v>
      </c>
      <c r="G3266" s="23"/>
      <c r="H3266" s="23"/>
      <c r="I3266" s="41"/>
      <c r="J3266" s="41" t="str">
        <f>"0"</f>
        <v>0</v>
      </c>
      <c r="K3266" s="108"/>
      <c r="L3266" s="108"/>
      <c r="M3266" s="134">
        <f>IF(L3266="",I3266,(MIN(J3266,(L3266*1.6*J3266))))</f>
        <v>0</v>
      </c>
      <c r="N3266" s="127">
        <f>IF(M3266=0,0,(M3266/J3266))</f>
        <v>0</v>
      </c>
    </row>
    <row r="3267" spans="2:14">
      <c r="B3267" s="72">
        <v>127892</v>
      </c>
      <c r="C3267" s="74" t="str">
        <f>"ST. LUCIE"</f>
        <v>ST. LUCIE</v>
      </c>
      <c r="D3267" s="133">
        <f>SUMIF(B$3:B$3844,B3267,M$3:M$3844)/(SUMIF(B$3:B$3844,B3267,J$3:J$3844))</f>
        <v>0.73046589153589725</v>
      </c>
      <c r="E3267" s="74">
        <v>38823</v>
      </c>
      <c r="F3267" s="48" t="str">
        <f>"MORNINGSIDE ELEMENTARY SCHOOL"</f>
        <v>MORNINGSIDE ELEMENTARY SCHOOL</v>
      </c>
      <c r="G3267" s="47"/>
      <c r="H3267" s="47"/>
      <c r="I3267" s="40">
        <v>385</v>
      </c>
      <c r="J3267" s="40">
        <v>602</v>
      </c>
      <c r="K3267" s="108"/>
      <c r="L3267" s="108"/>
      <c r="M3267" s="134">
        <f>IF(L3267="",I3267,(MIN(J3267,(L3267*1.6*J3267))))</f>
        <v>385</v>
      </c>
      <c r="N3267" s="127">
        <f>IF(M3267=0,0,(M3267/J3267))</f>
        <v>0.63953488372093026</v>
      </c>
    </row>
    <row r="3268" spans="2:14" ht="30">
      <c r="B3268" s="73">
        <v>127892</v>
      </c>
      <c r="C3268" s="75" t="str">
        <f>"ST. LUCIE"</f>
        <v>ST. LUCIE</v>
      </c>
      <c r="D3268" s="133">
        <f>SUMIF(B$3:B$3844,B3268,M$3:M$3844)/(SUMIF(B$3:B$3844,B3268,J$3:J$3844))</f>
        <v>0.73046589153589725</v>
      </c>
      <c r="E3268" s="75">
        <v>17002432</v>
      </c>
      <c r="F3268" s="46" t="s">
        <v>1456</v>
      </c>
      <c r="G3268" s="23"/>
      <c r="H3268" s="23"/>
      <c r="I3268" s="41">
        <v>27</v>
      </c>
      <c r="J3268" s="41">
        <v>97</v>
      </c>
      <c r="K3268" s="108"/>
      <c r="L3268" s="108"/>
      <c r="M3268" s="134">
        <f>IF(L3268="",I3268,(MIN(J3268,(L3268*1.6*J3268))))</f>
        <v>27</v>
      </c>
      <c r="N3268" s="127">
        <f>IF(M3268=0,0,(M3268/J3268))</f>
        <v>0.27835051546391754</v>
      </c>
    </row>
    <row r="3269" spans="2:14">
      <c r="B3269" s="72">
        <v>127892</v>
      </c>
      <c r="C3269" s="74" t="str">
        <f>"ST. LUCIE"</f>
        <v>ST. LUCIE</v>
      </c>
      <c r="D3269" s="133">
        <f>SUMIF(B$3:B$3844,B3269,M$3:M$3844)/(SUMIF(B$3:B$3844,B3269,J$3:J$3844))</f>
        <v>0.73046589153589725</v>
      </c>
      <c r="E3269" s="74">
        <v>16077110</v>
      </c>
      <c r="F3269" s="48" t="s">
        <v>1457</v>
      </c>
      <c r="G3269" s="47"/>
      <c r="H3269" s="47"/>
      <c r="I3269" s="40">
        <v>15</v>
      </c>
      <c r="J3269" s="40">
        <v>51</v>
      </c>
      <c r="K3269" s="108"/>
      <c r="L3269" s="108"/>
      <c r="M3269" s="134">
        <f>IF(L3269="",I3269,(MIN(J3269,(L3269*1.6*J3269))))</f>
        <v>15</v>
      </c>
      <c r="N3269" s="127">
        <f>IF(M3269=0,0,(M3269/J3269))</f>
        <v>0.29411764705882354</v>
      </c>
    </row>
    <row r="3270" spans="2:14" ht="30">
      <c r="B3270" s="73">
        <v>127892</v>
      </c>
      <c r="C3270" s="75" t="str">
        <f>"ST. LUCIE"</f>
        <v>ST. LUCIE</v>
      </c>
      <c r="D3270" s="133">
        <f>SUMIF(B$3:B$3844,B3270,M$3:M$3844)/(SUMIF(B$3:B$3844,B3270,J$3:J$3844))</f>
        <v>0.73046589153589725</v>
      </c>
      <c r="E3270" s="75">
        <v>17002433</v>
      </c>
      <c r="F3270" s="46" t="s">
        <v>1458</v>
      </c>
      <c r="G3270" s="23"/>
      <c r="H3270" s="23"/>
      <c r="I3270" s="41"/>
      <c r="J3270" s="41">
        <v>0</v>
      </c>
      <c r="K3270" s="108"/>
      <c r="L3270" s="108"/>
      <c r="M3270" s="134">
        <f>IF(L3270="",I3270,(MIN(J3270,(L3270*1.6*J3270))))</f>
        <v>0</v>
      </c>
      <c r="N3270" s="127">
        <f>IF(M3270=0,0,(M3270/J3270))</f>
        <v>0</v>
      </c>
    </row>
    <row r="3271" spans="2:14">
      <c r="B3271" s="72">
        <v>127892</v>
      </c>
      <c r="C3271" s="74" t="str">
        <f>"ST. LUCIE"</f>
        <v>ST. LUCIE</v>
      </c>
      <c r="D3271" s="133">
        <f>SUMIF(B$3:B$3844,B3271,M$3:M$3844)/(SUMIF(B$3:B$3844,B3271,J$3:J$3844))</f>
        <v>0.73046589153589725</v>
      </c>
      <c r="E3271" s="74">
        <v>16041213</v>
      </c>
      <c r="F3271" s="48" t="str">
        <f>"NORTH COUNTY COMPLEX"</f>
        <v>NORTH COUNTY COMPLEX</v>
      </c>
      <c r="G3271" s="47"/>
      <c r="H3271" s="47"/>
      <c r="I3271" s="40"/>
      <c r="J3271" s="40" t="str">
        <f>"0"</f>
        <v>0</v>
      </c>
      <c r="K3271" s="108"/>
      <c r="L3271" s="108"/>
      <c r="M3271" s="134">
        <f>IF(L3271="",I3271,(MIN(J3271,(L3271*1.6*J3271))))</f>
        <v>0</v>
      </c>
      <c r="N3271" s="127">
        <f>IF(M3271=0,0,(M3271/J3271))</f>
        <v>0</v>
      </c>
    </row>
    <row r="3272" spans="2:14">
      <c r="B3272" s="73">
        <v>127892</v>
      </c>
      <c r="C3272" s="75" t="str">
        <f>"ST. LUCIE"</f>
        <v>ST. LUCIE</v>
      </c>
      <c r="D3272" s="133">
        <f>SUMIF(B$3:B$3844,B3272,M$3:M$3844)/(SUMIF(B$3:B$3844,B3272,J$3:J$3844))</f>
        <v>0.73046589153589725</v>
      </c>
      <c r="E3272" s="75">
        <v>38869</v>
      </c>
      <c r="F3272" s="46" t="str">
        <f>"NORTHPORT K-8 SCHOOL"</f>
        <v>NORTHPORT K-8 SCHOOL</v>
      </c>
      <c r="G3272" s="23"/>
      <c r="H3272" s="23"/>
      <c r="I3272" s="41">
        <v>919</v>
      </c>
      <c r="J3272" s="41">
        <v>1160</v>
      </c>
      <c r="K3272" s="108"/>
      <c r="L3272" s="108"/>
      <c r="M3272" s="134">
        <f>IF(L3272="",I3272,(MIN(J3272,(L3272*1.6*J3272))))</f>
        <v>919</v>
      </c>
      <c r="N3272" s="127">
        <f>IF(M3272=0,0,(M3272/J3272))</f>
        <v>0.79224137931034477</v>
      </c>
    </row>
    <row r="3273" spans="2:14">
      <c r="B3273" s="72">
        <v>127892</v>
      </c>
      <c r="C3273" s="74" t="str">
        <f>"ST. LUCIE"</f>
        <v>ST. LUCIE</v>
      </c>
      <c r="D3273" s="133">
        <f>SUMIF(B$3:B$3844,B3273,M$3:M$3844)/(SUMIF(B$3:B$3844,B3273,J$3:J$3844))</f>
        <v>0.73046589153589725</v>
      </c>
      <c r="E3273" s="74">
        <v>16022741</v>
      </c>
      <c r="F3273" s="48" t="str">
        <f>"OAK HAMMOCK K-8 SCHOOL"</f>
        <v>OAK HAMMOCK K-8 SCHOOL</v>
      </c>
      <c r="G3273" s="47"/>
      <c r="H3273" s="47"/>
      <c r="I3273" s="40">
        <v>965</v>
      </c>
      <c r="J3273" s="40">
        <v>1451</v>
      </c>
      <c r="K3273" s="108"/>
      <c r="L3273" s="108"/>
      <c r="M3273" s="134">
        <f>IF(L3273="",I3273,(MIN(J3273,(L3273*1.6*J3273))))</f>
        <v>965</v>
      </c>
      <c r="N3273" s="127">
        <f>IF(M3273=0,0,(M3273/J3273))</f>
        <v>0.66505858028945553</v>
      </c>
    </row>
    <row r="3274" spans="2:14">
      <c r="B3274" s="73">
        <v>127892</v>
      </c>
      <c r="C3274" s="75" t="str">
        <f>"ST. LUCIE"</f>
        <v>ST. LUCIE</v>
      </c>
      <c r="D3274" s="133">
        <f>SUMIF(B$3:B$3844,B3274,M$3:M$3844)/(SUMIF(B$3:B$3844,B3274,J$3:J$3844))</f>
        <v>0.73046589153589725</v>
      </c>
      <c r="E3274" s="75">
        <v>225532</v>
      </c>
      <c r="F3274" s="46" t="s">
        <v>1459</v>
      </c>
      <c r="G3274" s="23"/>
      <c r="H3274" s="23"/>
      <c r="I3274" s="41">
        <v>19</v>
      </c>
      <c r="J3274" s="41">
        <v>36</v>
      </c>
      <c r="K3274" s="108"/>
      <c r="L3274" s="108"/>
      <c r="M3274" s="134">
        <f>IF(L3274="",I3274,(MIN(J3274,(L3274*1.6*J3274))))</f>
        <v>19</v>
      </c>
      <c r="N3274" s="127">
        <f>IF(M3274=0,0,(M3274/J3274))</f>
        <v>0.52777777777777779</v>
      </c>
    </row>
    <row r="3275" spans="2:14">
      <c r="B3275" s="72">
        <v>127892</v>
      </c>
      <c r="C3275" s="74" t="str">
        <f>"ST. LUCIE"</f>
        <v>ST. LUCIE</v>
      </c>
      <c r="D3275" s="133">
        <f>SUMIF(B$3:B$3844,B3275,M$3:M$3844)/(SUMIF(B$3:B$3844,B3275,J$3:J$3844))</f>
        <v>0.73046589153589725</v>
      </c>
      <c r="E3275" s="74">
        <v>38867</v>
      </c>
      <c r="F3275" s="48" t="str">
        <f>"PARKWAY ELEMENTARY SCHOOL"</f>
        <v>PARKWAY ELEMENTARY SCHOOL</v>
      </c>
      <c r="G3275" s="47"/>
      <c r="H3275" s="47"/>
      <c r="I3275" s="40">
        <v>435</v>
      </c>
      <c r="J3275" s="40">
        <v>533</v>
      </c>
      <c r="K3275" s="108"/>
      <c r="L3275" s="108"/>
      <c r="M3275" s="134">
        <f>IF(L3275="",I3275,(MIN(J3275,(L3275*1.6*J3275))))</f>
        <v>435</v>
      </c>
      <c r="N3275" s="127">
        <f>IF(M3275=0,0,(M3275/J3275))</f>
        <v>0.81613508442776739</v>
      </c>
    </row>
    <row r="3276" spans="2:14">
      <c r="B3276" s="73">
        <v>127892</v>
      </c>
      <c r="C3276" s="75" t="str">
        <f>"ST. LUCIE"</f>
        <v>ST. LUCIE</v>
      </c>
      <c r="D3276" s="133">
        <f>SUMIF(B$3:B$3844,B3276,M$3:M$3844)/(SUMIF(B$3:B$3844,B3276,J$3:J$3844))</f>
        <v>0.73046589153589725</v>
      </c>
      <c r="E3276" s="75">
        <v>203726</v>
      </c>
      <c r="F3276" s="46" t="s">
        <v>1460</v>
      </c>
      <c r="G3276" s="23"/>
      <c r="H3276" s="23"/>
      <c r="I3276" s="41">
        <v>156</v>
      </c>
      <c r="J3276" s="41">
        <v>215</v>
      </c>
      <c r="K3276" s="108"/>
      <c r="L3276" s="108"/>
      <c r="M3276" s="134">
        <f>IF(L3276="",I3276,(MIN(J3276,(L3276*1.6*J3276))))</f>
        <v>156</v>
      </c>
      <c r="N3276" s="127">
        <f>IF(M3276=0,0,(M3276/J3276))</f>
        <v>0.72558139534883725</v>
      </c>
    </row>
    <row r="3277" spans="2:14">
      <c r="B3277" s="72">
        <v>127892</v>
      </c>
      <c r="C3277" s="74" t="str">
        <f>"ST. LUCIE"</f>
        <v>ST. LUCIE</v>
      </c>
      <c r="D3277" s="133">
        <f>SUMIF(B$3:B$3844,B3277,M$3:M$3844)/(SUMIF(B$3:B$3844,B3277,J$3:J$3844))</f>
        <v>0.73046589153589725</v>
      </c>
      <c r="E3277" s="74">
        <v>38828</v>
      </c>
      <c r="F3277" s="48" t="str">
        <f>"PORT ST. LUCIE HIGH SCHOOL"</f>
        <v>PORT ST. LUCIE HIGH SCHOOL</v>
      </c>
      <c r="G3277" s="47"/>
      <c r="H3277" s="47"/>
      <c r="I3277" s="40">
        <v>1038</v>
      </c>
      <c r="J3277" s="40">
        <v>1598</v>
      </c>
      <c r="K3277" s="108"/>
      <c r="L3277" s="108"/>
      <c r="M3277" s="134">
        <f>IF(L3277="",I3277,(MIN(J3277,(L3277*1.6*J3277))))</f>
        <v>1038</v>
      </c>
      <c r="N3277" s="127">
        <f>IF(M3277=0,0,(M3277/J3277))</f>
        <v>0.64956195244055071</v>
      </c>
    </row>
    <row r="3278" spans="2:14">
      <c r="B3278" s="73">
        <v>127892</v>
      </c>
      <c r="C3278" s="75" t="str">
        <f>"ST. LUCIE"</f>
        <v>ST. LUCIE</v>
      </c>
      <c r="D3278" s="133">
        <f>SUMIF(B$3:B$3844,B3278,M$3:M$3844)/(SUMIF(B$3:B$3844,B3278,J$3:J$3844))</f>
        <v>0.73046589153589725</v>
      </c>
      <c r="E3278" s="75">
        <v>38864</v>
      </c>
      <c r="F3278" s="46" t="str">
        <f>"RIVERS EDGE ELEMENTARY SCHOOL"</f>
        <v>RIVERS EDGE ELEMENTARY SCHOOL</v>
      </c>
      <c r="G3278" s="23"/>
      <c r="H3278" s="23"/>
      <c r="I3278" s="41">
        <v>470</v>
      </c>
      <c r="J3278" s="41">
        <v>675</v>
      </c>
      <c r="K3278" s="108"/>
      <c r="L3278" s="108"/>
      <c r="M3278" s="134">
        <f>IF(L3278="",I3278,(MIN(J3278,(L3278*1.6*J3278))))</f>
        <v>470</v>
      </c>
      <c r="N3278" s="127">
        <f>IF(M3278=0,0,(M3278/J3278))</f>
        <v>0.6962962962962963</v>
      </c>
    </row>
    <row r="3279" spans="2:14">
      <c r="B3279" s="72">
        <v>127892</v>
      </c>
      <c r="C3279" s="74" t="str">
        <f>"ST. LUCIE"</f>
        <v>ST. LUCIE</v>
      </c>
      <c r="D3279" s="133">
        <f>SUMIF(B$3:B$3844,B3279,M$3:M$3844)/(SUMIF(B$3:B$3844,B3279,J$3:J$3844))</f>
        <v>0.73046589153589725</v>
      </c>
      <c r="E3279" s="74">
        <v>16039730</v>
      </c>
      <c r="F3279" s="48" t="str">
        <f>"SAMUEL S. GAINES ACADEMY K-8"</f>
        <v>SAMUEL S. GAINES ACADEMY K-8</v>
      </c>
      <c r="G3279" s="47"/>
      <c r="H3279" s="47"/>
      <c r="I3279" s="40"/>
      <c r="J3279" s="40">
        <v>1272</v>
      </c>
      <c r="K3279" s="108">
        <v>2014</v>
      </c>
      <c r="L3279" s="108">
        <v>71.239999999999995</v>
      </c>
      <c r="M3279" s="134">
        <f>IF(L3279="",I3279,(MIN(J3279,(L3279*1.6*J3279))))</f>
        <v>1272</v>
      </c>
      <c r="N3279" s="127">
        <f>IF(M3279=0,0,(M3279/J3279))</f>
        <v>1</v>
      </c>
    </row>
    <row r="3280" spans="2:14">
      <c r="B3280" s="73">
        <v>127892</v>
      </c>
      <c r="C3280" s="75" t="str">
        <f>"ST. LUCIE"</f>
        <v>ST. LUCIE</v>
      </c>
      <c r="D3280" s="133">
        <f>SUMIF(B$3:B$3844,B3280,M$3:M$3844)/(SUMIF(B$3:B$3844,B3280,J$3:J$3844))</f>
        <v>0.73046589153589725</v>
      </c>
      <c r="E3280" s="75">
        <v>201805</v>
      </c>
      <c r="F3280" s="46" t="s">
        <v>1461</v>
      </c>
      <c r="G3280" s="23"/>
      <c r="H3280" s="23"/>
      <c r="I3280" s="41">
        <v>437</v>
      </c>
      <c r="J3280" s="41">
        <v>524</v>
      </c>
      <c r="K3280" s="108"/>
      <c r="L3280" s="108"/>
      <c r="M3280" s="134">
        <f>IF(L3280="",I3280,(MIN(J3280,(L3280*1.6*J3280))))</f>
        <v>437</v>
      </c>
      <c r="N3280" s="127">
        <f>IF(M3280=0,0,(M3280/J3280))</f>
        <v>0.83396946564885499</v>
      </c>
    </row>
    <row r="3281" spans="2:14" ht="30">
      <c r="B3281" s="72">
        <v>127892</v>
      </c>
      <c r="C3281" s="74" t="str">
        <f>"ST. LUCIE"</f>
        <v>ST. LUCIE</v>
      </c>
      <c r="D3281" s="133">
        <f>SUMIF(B$3:B$3844,B3281,M$3:M$3844)/(SUMIF(B$3:B$3844,B3281,J$3:J$3844))</f>
        <v>0.73046589153589725</v>
      </c>
      <c r="E3281" s="74">
        <v>16027326</v>
      </c>
      <c r="F3281" s="48" t="s">
        <v>1462</v>
      </c>
      <c r="G3281" s="47"/>
      <c r="H3281" s="47"/>
      <c r="I3281" s="40"/>
      <c r="J3281" s="40" t="str">
        <f>"0"</f>
        <v>0</v>
      </c>
      <c r="K3281" s="108"/>
      <c r="L3281" s="108"/>
      <c r="M3281" s="134">
        <f>IF(L3281="",I3281,(MIN(J3281,(L3281*1.6*J3281))))</f>
        <v>0</v>
      </c>
      <c r="N3281" s="127">
        <f>IF(M3281=0,0,(M3281/J3281))</f>
        <v>0</v>
      </c>
    </row>
    <row r="3282" spans="2:14" ht="30">
      <c r="B3282" s="73">
        <v>127892</v>
      </c>
      <c r="C3282" s="75" t="str">
        <f>"ST. LUCIE"</f>
        <v>ST. LUCIE</v>
      </c>
      <c r="D3282" s="133">
        <f>SUMIF(B$3:B$3844,B3282,M$3:M$3844)/(SUMIF(B$3:B$3844,B3282,J$3:J$3844))</f>
        <v>0.73046589153589725</v>
      </c>
      <c r="E3282" s="75">
        <v>16027332</v>
      </c>
      <c r="F3282" s="46" t="s">
        <v>1463</v>
      </c>
      <c r="G3282" s="23"/>
      <c r="H3282" s="23"/>
      <c r="I3282" s="41"/>
      <c r="J3282" s="41" t="str">
        <f>"0"</f>
        <v>0</v>
      </c>
      <c r="K3282" s="108"/>
      <c r="L3282" s="108"/>
      <c r="M3282" s="134">
        <f>IF(L3282="",I3282,(MIN(J3282,(L3282*1.6*J3282))))</f>
        <v>0</v>
      </c>
      <c r="N3282" s="127">
        <f>IF(M3282=0,0,(M3282/J3282))</f>
        <v>0</v>
      </c>
    </row>
    <row r="3283" spans="2:14" ht="30">
      <c r="B3283" s="72">
        <v>127892</v>
      </c>
      <c r="C3283" s="74" t="str">
        <f>"ST. LUCIE"</f>
        <v>ST. LUCIE</v>
      </c>
      <c r="D3283" s="133">
        <f>SUMIF(B$3:B$3844,B3283,M$3:M$3844)/(SUMIF(B$3:B$3844,B3283,J$3:J$3844))</f>
        <v>0.73046589153589725</v>
      </c>
      <c r="E3283" s="74">
        <v>16027325</v>
      </c>
      <c r="F3283" s="48" t="s">
        <v>1464</v>
      </c>
      <c r="G3283" s="47"/>
      <c r="H3283" s="47"/>
      <c r="I3283" s="40"/>
      <c r="J3283" s="40" t="str">
        <f>"0"</f>
        <v>0</v>
      </c>
      <c r="K3283" s="108"/>
      <c r="L3283" s="108"/>
      <c r="M3283" s="134">
        <f>IF(L3283="",I3283,(MIN(J3283,(L3283*1.6*J3283))))</f>
        <v>0</v>
      </c>
      <c r="N3283" s="127">
        <f>IF(M3283=0,0,(M3283/J3283))</f>
        <v>0</v>
      </c>
    </row>
    <row r="3284" spans="2:14">
      <c r="B3284" s="73">
        <v>127892</v>
      </c>
      <c r="C3284" s="75" t="str">
        <f>"ST. LUCIE"</f>
        <v>ST. LUCIE</v>
      </c>
      <c r="D3284" s="133">
        <f>SUMIF(B$3:B$3844,B3284,M$3:M$3844)/(SUMIF(B$3:B$3844,B3284,J$3:J$3844))</f>
        <v>0.73046589153589725</v>
      </c>
      <c r="E3284" s="75">
        <v>38865</v>
      </c>
      <c r="F3284" s="46" t="str">
        <f>"SOUTHERN OAKS MIDDLE SCHOOL"</f>
        <v>SOUTHERN OAKS MIDDLE SCHOOL</v>
      </c>
      <c r="G3284" s="23"/>
      <c r="H3284" s="23"/>
      <c r="I3284" s="41">
        <v>617</v>
      </c>
      <c r="J3284" s="41">
        <v>918</v>
      </c>
      <c r="K3284" s="108"/>
      <c r="L3284" s="108"/>
      <c r="M3284" s="134">
        <f>IF(L3284="",I3284,(MIN(J3284,(L3284*1.6*J3284))))</f>
        <v>617</v>
      </c>
      <c r="N3284" s="127">
        <f>IF(M3284=0,0,(M3284/J3284))</f>
        <v>0.67211328976034856</v>
      </c>
    </row>
    <row r="3285" spans="2:14">
      <c r="B3285" s="72">
        <v>127892</v>
      </c>
      <c r="C3285" s="74" t="str">
        <f>"ST. LUCIE"</f>
        <v>ST. LUCIE</v>
      </c>
      <c r="D3285" s="133">
        <f>SUMIF(B$3:B$3844,B3285,M$3:M$3844)/(SUMIF(B$3:B$3844,B3285,J$3:J$3844))</f>
        <v>0.73046589153589725</v>
      </c>
      <c r="E3285" s="74">
        <v>38825</v>
      </c>
      <c r="F3285" s="48" t="str">
        <f>"SOUTHPORT MIDDLE SCHOOL"</f>
        <v>SOUTHPORT MIDDLE SCHOOL</v>
      </c>
      <c r="G3285" s="47"/>
      <c r="H3285" s="47"/>
      <c r="I3285" s="40">
        <v>554</v>
      </c>
      <c r="J3285" s="40">
        <v>749</v>
      </c>
      <c r="K3285" s="108"/>
      <c r="L3285" s="108"/>
      <c r="M3285" s="134">
        <f>IF(L3285="",I3285,(MIN(J3285,(L3285*1.6*J3285))))</f>
        <v>554</v>
      </c>
      <c r="N3285" s="127">
        <f>IF(M3285=0,0,(M3285/J3285))</f>
        <v>0.73965287049399198</v>
      </c>
    </row>
    <row r="3286" spans="2:14">
      <c r="B3286" s="73">
        <v>127892</v>
      </c>
      <c r="C3286" s="75" t="str">
        <f>"ST. LUCIE"</f>
        <v>ST. LUCIE</v>
      </c>
      <c r="D3286" s="133">
        <f>SUMIF(B$3:B$3844,B3286,M$3:M$3844)/(SUMIF(B$3:B$3844,B3286,J$3:J$3844))</f>
        <v>0.73046589153589725</v>
      </c>
      <c r="E3286" s="75">
        <v>127892</v>
      </c>
      <c r="F3286" s="46" t="str">
        <f>"ST LUCIE COUNTY SCHOOL DIST"</f>
        <v>ST LUCIE COUNTY SCHOOL DIST</v>
      </c>
      <c r="G3286" s="23"/>
      <c r="H3286" s="23"/>
      <c r="I3286" s="41"/>
      <c r="J3286" s="41" t="str">
        <f>"0"</f>
        <v>0</v>
      </c>
      <c r="K3286" s="108"/>
      <c r="L3286" s="108"/>
      <c r="M3286" s="134">
        <f>IF(L3286="",I3286,(MIN(J3286,(L3286*1.6*J3286))))</f>
        <v>0</v>
      </c>
      <c r="N3286" s="127">
        <f>IF(M3286=0,0,(M3286/J3286))</f>
        <v>0</v>
      </c>
    </row>
    <row r="3287" spans="2:14" ht="30">
      <c r="B3287" s="72">
        <v>127892</v>
      </c>
      <c r="C3287" s="74" t="str">
        <f>"ST. LUCIE"</f>
        <v>ST. LUCIE</v>
      </c>
      <c r="D3287" s="133">
        <f>SUMIF(B$3:B$3844,B3287,M$3:M$3844)/(SUMIF(B$3:B$3844,B3287,J$3:J$3844))</f>
        <v>0.73046589153589725</v>
      </c>
      <c r="E3287" s="74">
        <v>16082480</v>
      </c>
      <c r="F3287" s="48" t="s">
        <v>1465</v>
      </c>
      <c r="G3287" s="47"/>
      <c r="H3287" s="47"/>
      <c r="I3287" s="40">
        <v>9</v>
      </c>
      <c r="J3287" s="40">
        <v>13</v>
      </c>
      <c r="K3287" s="108"/>
      <c r="L3287" s="108"/>
      <c r="M3287" s="134">
        <f>IF(L3287="",I3287,(MIN(J3287,(L3287*1.6*J3287))))</f>
        <v>9</v>
      </c>
      <c r="N3287" s="127">
        <f>IF(M3287=0,0,(M3287/J3287))</f>
        <v>0.69230769230769229</v>
      </c>
    </row>
    <row r="3288" spans="2:14">
      <c r="B3288" s="73">
        <v>127892</v>
      </c>
      <c r="C3288" s="75" t="str">
        <f>"ST. LUCIE"</f>
        <v>ST. LUCIE</v>
      </c>
      <c r="D3288" s="133">
        <f>SUMIF(B$3:B$3844,B3288,M$3:M$3844)/(SUMIF(B$3:B$3844,B3288,J$3:J$3844))</f>
        <v>0.73046589153589725</v>
      </c>
      <c r="E3288" s="75">
        <v>16027333</v>
      </c>
      <c r="F3288" s="46" t="s">
        <v>1466</v>
      </c>
      <c r="G3288" s="23"/>
      <c r="H3288" s="23"/>
      <c r="I3288" s="41"/>
      <c r="J3288" s="41" t="str">
        <f>"0"</f>
        <v>0</v>
      </c>
      <c r="K3288" s="108"/>
      <c r="L3288" s="108"/>
      <c r="M3288" s="134">
        <f>IF(L3288="",I3288,(MIN(J3288,(L3288*1.6*J3288))))</f>
        <v>0</v>
      </c>
      <c r="N3288" s="127">
        <f>IF(M3288=0,0,(M3288/J3288))</f>
        <v>0</v>
      </c>
    </row>
    <row r="3289" spans="2:14">
      <c r="B3289" s="72">
        <v>127892</v>
      </c>
      <c r="C3289" s="74" t="str">
        <f>"ST. LUCIE"</f>
        <v>ST. LUCIE</v>
      </c>
      <c r="D3289" s="133">
        <f>SUMIF(B$3:B$3844,B3289,M$3:M$3844)/(SUMIF(B$3:B$3844,B3289,J$3:J$3844))</f>
        <v>0.73046589153589725</v>
      </c>
      <c r="E3289" s="74">
        <v>203727</v>
      </c>
      <c r="F3289" s="48" t="str">
        <f>"ST. LUCIE DETENTION CENTER"</f>
        <v>ST. LUCIE DETENTION CENTER</v>
      </c>
      <c r="G3289" s="47"/>
      <c r="H3289" s="47"/>
      <c r="I3289" s="40">
        <v>6</v>
      </c>
      <c r="J3289" s="40">
        <v>34</v>
      </c>
      <c r="K3289" s="108"/>
      <c r="L3289" s="108"/>
      <c r="M3289" s="134">
        <f>IF(L3289="",I3289,(MIN(J3289,(L3289*1.6*J3289))))</f>
        <v>6</v>
      </c>
      <c r="N3289" s="127">
        <f>IF(M3289=0,0,(M3289/J3289))</f>
        <v>0.17647058823529413</v>
      </c>
    </row>
    <row r="3290" spans="2:14">
      <c r="B3290" s="73">
        <v>127892</v>
      </c>
      <c r="C3290" s="75" t="str">
        <f>"ST. LUCIE"</f>
        <v>ST. LUCIE</v>
      </c>
      <c r="D3290" s="133">
        <f>SUMIF(B$3:B$3844,B3290,M$3:M$3844)/(SUMIF(B$3:B$3844,B3290,J$3:J$3844))</f>
        <v>0.73046589153589725</v>
      </c>
      <c r="E3290" s="75">
        <v>38816</v>
      </c>
      <c r="F3290" s="46" t="str">
        <f>"ST. LUCIE ELEMENTARY SCHOOL"</f>
        <v>ST. LUCIE ELEMENTARY SCHOOL</v>
      </c>
      <c r="G3290" s="23"/>
      <c r="H3290" s="23"/>
      <c r="I3290" s="41"/>
      <c r="J3290" s="41">
        <v>767</v>
      </c>
      <c r="K3290" s="108">
        <v>2014</v>
      </c>
      <c r="L3290" s="108">
        <v>78.010000000000005</v>
      </c>
      <c r="M3290" s="134">
        <f>IF(L3290="",I3290,(MIN(J3290,(L3290*1.6*J3290))))</f>
        <v>767</v>
      </c>
      <c r="N3290" s="127">
        <f>IF(M3290=0,0,(M3290/J3290))</f>
        <v>1</v>
      </c>
    </row>
    <row r="3291" spans="2:14">
      <c r="B3291" s="72">
        <v>127892</v>
      </c>
      <c r="C3291" s="74" t="str">
        <f>"ST. LUCIE"</f>
        <v>ST. LUCIE</v>
      </c>
      <c r="D3291" s="133">
        <f>SUMIF(B$3:B$3844,B3291,M$3:M$3844)/(SUMIF(B$3:B$3844,B3291,J$3:J$3844))</f>
        <v>0.73046589153589725</v>
      </c>
      <c r="E3291" s="74">
        <v>16082479</v>
      </c>
      <c r="F3291" s="48" t="s">
        <v>1467</v>
      </c>
      <c r="G3291" s="47"/>
      <c r="H3291" s="47"/>
      <c r="I3291" s="40">
        <v>5</v>
      </c>
      <c r="J3291" s="40">
        <v>14</v>
      </c>
      <c r="K3291" s="108"/>
      <c r="L3291" s="108"/>
      <c r="M3291" s="134">
        <f>IF(L3291="",I3291,(MIN(J3291,(L3291*1.6*J3291))))</f>
        <v>5</v>
      </c>
      <c r="N3291" s="127">
        <f>IF(M3291=0,0,(M3291/J3291))</f>
        <v>0.35714285714285715</v>
      </c>
    </row>
    <row r="3292" spans="2:14">
      <c r="B3292" s="73">
        <v>127892</v>
      </c>
      <c r="C3292" s="75" t="str">
        <f>"ST. LUCIE"</f>
        <v>ST. LUCIE</v>
      </c>
      <c r="D3292" s="133">
        <f>SUMIF(B$3:B$3844,B3292,M$3:M$3844)/(SUMIF(B$3:B$3844,B3292,J$3:J$3844))</f>
        <v>0.73046589153589725</v>
      </c>
      <c r="E3292" s="75">
        <v>205753</v>
      </c>
      <c r="F3292" s="46" t="str">
        <f>"ST. LUCIE WEST CENTENNIAL HIGH"</f>
        <v>ST. LUCIE WEST CENTENNIAL HIGH</v>
      </c>
      <c r="G3292" s="23"/>
      <c r="H3292" s="23"/>
      <c r="I3292" s="41">
        <v>1604</v>
      </c>
      <c r="J3292" s="41">
        <v>2523</v>
      </c>
      <c r="K3292" s="108"/>
      <c r="L3292" s="108"/>
      <c r="M3292" s="134">
        <f>IF(L3292="",I3292,(MIN(J3292,(L3292*1.6*J3292))))</f>
        <v>1604</v>
      </c>
      <c r="N3292" s="127">
        <f>IF(M3292=0,0,(M3292/J3292))</f>
        <v>0.63575108997225527</v>
      </c>
    </row>
    <row r="3293" spans="2:14">
      <c r="B3293" s="72">
        <v>127892</v>
      </c>
      <c r="C3293" s="74" t="str">
        <f>"ST. LUCIE"</f>
        <v>ST. LUCIE</v>
      </c>
      <c r="D3293" s="133">
        <f>SUMIF(B$3:B$3844,B3293,M$3:M$3844)/(SUMIF(B$3:B$3844,B3293,J$3:J$3844))</f>
        <v>0.73046589153589725</v>
      </c>
      <c r="E3293" s="74">
        <v>201806</v>
      </c>
      <c r="F3293" s="48" t="str">
        <f>"ST. LUCIE WEST K-8 SCHOOL"</f>
        <v>ST. LUCIE WEST K-8 SCHOOL</v>
      </c>
      <c r="G3293" s="47"/>
      <c r="H3293" s="47"/>
      <c r="I3293" s="40">
        <v>897</v>
      </c>
      <c r="J3293" s="40">
        <v>1404</v>
      </c>
      <c r="K3293" s="108"/>
      <c r="L3293" s="108"/>
      <c r="M3293" s="134">
        <f>IF(L3293="",I3293,(MIN(J3293,(L3293*1.6*J3293))))</f>
        <v>897</v>
      </c>
      <c r="N3293" s="127">
        <f>IF(M3293=0,0,(M3293/J3293))</f>
        <v>0.63888888888888884</v>
      </c>
    </row>
    <row r="3294" spans="2:14">
      <c r="B3294" s="73">
        <v>127892</v>
      </c>
      <c r="C3294" s="75" t="str">
        <f>"ST. LUCIE"</f>
        <v>ST. LUCIE</v>
      </c>
      <c r="D3294" s="133">
        <f>SUMIF(B$3:B$3844,B3294,M$3:M$3844)/(SUMIF(B$3:B$3844,B3294,J$3:J$3844))</f>
        <v>0.73046589153589725</v>
      </c>
      <c r="E3294" s="75">
        <v>16027674</v>
      </c>
      <c r="F3294" s="46" t="str">
        <f>"TREASURE COAST HIGH SCHOOL"</f>
        <v>TREASURE COAST HIGH SCHOOL</v>
      </c>
      <c r="G3294" s="23"/>
      <c r="H3294" s="23"/>
      <c r="I3294" s="41">
        <v>1569</v>
      </c>
      <c r="J3294" s="41">
        <v>2614</v>
      </c>
      <c r="K3294" s="108"/>
      <c r="L3294" s="108"/>
      <c r="M3294" s="134">
        <f>IF(L3294="",I3294,(MIN(J3294,(L3294*1.6*J3294))))</f>
        <v>1569</v>
      </c>
      <c r="N3294" s="127">
        <f>IF(M3294=0,0,(M3294/J3294))</f>
        <v>0.60022953328232598</v>
      </c>
    </row>
    <row r="3295" spans="2:14">
      <c r="B3295" s="72">
        <v>127892</v>
      </c>
      <c r="C3295" s="74" t="str">
        <f>"ST. LUCIE"</f>
        <v>ST. LUCIE</v>
      </c>
      <c r="D3295" s="133">
        <f>SUMIF(B$3:B$3844,B3295,M$3:M$3844)/(SUMIF(B$3:B$3844,B3295,J$3:J$3844))</f>
        <v>0.73046589153589725</v>
      </c>
      <c r="E3295" s="74">
        <v>38826</v>
      </c>
      <c r="F3295" s="48" t="s">
        <v>1468</v>
      </c>
      <c r="G3295" s="47"/>
      <c r="H3295" s="47"/>
      <c r="I3295" s="40">
        <v>378</v>
      </c>
      <c r="J3295" s="40">
        <v>519</v>
      </c>
      <c r="K3295" s="108"/>
      <c r="L3295" s="108"/>
      <c r="M3295" s="134">
        <f>IF(L3295="",I3295,(MIN(J3295,(L3295*1.6*J3295))))</f>
        <v>378</v>
      </c>
      <c r="N3295" s="127">
        <f>IF(M3295=0,0,(M3295/J3295))</f>
        <v>0.72832369942196529</v>
      </c>
    </row>
    <row r="3296" spans="2:14">
      <c r="B3296" s="73">
        <v>127892</v>
      </c>
      <c r="C3296" s="75" t="str">
        <f>"ST. LUCIE"</f>
        <v>ST. LUCIE</v>
      </c>
      <c r="D3296" s="133">
        <f>SUMIF(B$3:B$3844,B3296,M$3:M$3844)/(SUMIF(B$3:B$3844,B3296,J$3:J$3844))</f>
        <v>0.73046589153589725</v>
      </c>
      <c r="E3296" s="75">
        <v>38860</v>
      </c>
      <c r="F3296" s="46" t="str">
        <f>"WEATHERBEE ELEMENTARY SCHOOL"</f>
        <v>WEATHERBEE ELEMENTARY SCHOOL</v>
      </c>
      <c r="G3296" s="23"/>
      <c r="H3296" s="23"/>
      <c r="I3296" s="41"/>
      <c r="J3296" s="41">
        <v>708</v>
      </c>
      <c r="K3296" s="108">
        <v>2014</v>
      </c>
      <c r="L3296" s="108">
        <v>74.36</v>
      </c>
      <c r="M3296" s="134">
        <f>IF(L3296="",I3296,(MIN(J3296,(L3296*1.6*J3296))))</f>
        <v>708</v>
      </c>
      <c r="N3296" s="127">
        <f>IF(M3296=0,0,(M3296/J3296))</f>
        <v>1</v>
      </c>
    </row>
    <row r="3297" spans="2:14">
      <c r="B3297" s="72">
        <v>127892</v>
      </c>
      <c r="C3297" s="74" t="str">
        <f>"ST. LUCIE"</f>
        <v>ST. LUCIE</v>
      </c>
      <c r="D3297" s="133">
        <f>SUMIF(B$3:B$3844,B3297,M$3:M$3844)/(SUMIF(B$3:B$3844,B3297,J$3:J$3844))</f>
        <v>0.73046589153589725</v>
      </c>
      <c r="E3297" s="74">
        <v>16034640</v>
      </c>
      <c r="F3297" s="48" t="str">
        <f>"WEST GATE K-8 SCHOOL"</f>
        <v>WEST GATE K-8 SCHOOL</v>
      </c>
      <c r="G3297" s="47"/>
      <c r="H3297" s="47"/>
      <c r="I3297" s="40">
        <v>727</v>
      </c>
      <c r="J3297" s="40">
        <v>1261</v>
      </c>
      <c r="K3297" s="108"/>
      <c r="L3297" s="108"/>
      <c r="M3297" s="134">
        <f>IF(L3297="",I3297,(MIN(J3297,(L3297*1.6*J3297))))</f>
        <v>727</v>
      </c>
      <c r="N3297" s="127">
        <f>IF(M3297=0,0,(M3297/J3297))</f>
        <v>0.57652656621728782</v>
      </c>
    </row>
    <row r="3298" spans="2:14">
      <c r="B3298" s="73">
        <v>127892</v>
      </c>
      <c r="C3298" s="75" t="str">
        <f>"ST. LUCIE"</f>
        <v>ST. LUCIE</v>
      </c>
      <c r="D3298" s="133">
        <f>SUMIF(B$3:B$3844,B3298,M$3:M$3844)/(SUMIF(B$3:B$3844,B3298,J$3:J$3844))</f>
        <v>0.73046589153589725</v>
      </c>
      <c r="E3298" s="75">
        <v>38861</v>
      </c>
      <c r="F3298" s="46" t="str">
        <f>"WHITE CITY ELEMENTARY SCHOOL"</f>
        <v>WHITE CITY ELEMENTARY SCHOOL</v>
      </c>
      <c r="G3298" s="23"/>
      <c r="H3298" s="23"/>
      <c r="I3298" s="41"/>
      <c r="J3298" s="41">
        <v>538</v>
      </c>
      <c r="K3298" s="108">
        <v>2014</v>
      </c>
      <c r="L3298" s="108">
        <v>70.41</v>
      </c>
      <c r="M3298" s="134">
        <f>IF(L3298="",I3298,(MIN(J3298,(L3298*1.6*J3298))))</f>
        <v>538</v>
      </c>
      <c r="N3298" s="127">
        <f>IF(M3298=0,0,(M3298/J3298))</f>
        <v>1</v>
      </c>
    </row>
    <row r="3299" spans="2:14">
      <c r="B3299" s="72">
        <v>127892</v>
      </c>
      <c r="C3299" s="74" t="str">
        <f>"ST. LUCIE"</f>
        <v>ST. LUCIE</v>
      </c>
      <c r="D3299" s="133">
        <f>SUMIF(B$3:B$3844,B3299,M$3:M$3844)/(SUMIF(B$3:B$3844,B3299,J$3:J$3844))</f>
        <v>0.73046589153589725</v>
      </c>
      <c r="E3299" s="74">
        <v>38829</v>
      </c>
      <c r="F3299" s="48" t="s">
        <v>1469</v>
      </c>
      <c r="G3299" s="47"/>
      <c r="H3299" s="47"/>
      <c r="I3299" s="40">
        <v>592</v>
      </c>
      <c r="J3299" s="40">
        <v>779</v>
      </c>
      <c r="K3299" s="108"/>
      <c r="L3299" s="108"/>
      <c r="M3299" s="134">
        <f>IF(L3299="",I3299,(MIN(J3299,(L3299*1.6*J3299))))</f>
        <v>592</v>
      </c>
      <c r="N3299" s="127">
        <f>IF(M3299=0,0,(M3299/J3299))</f>
        <v>0.75994865211810014</v>
      </c>
    </row>
    <row r="3300" spans="2:14">
      <c r="B3300" s="73">
        <v>127774</v>
      </c>
      <c r="C3300" s="75" t="s">
        <v>2313</v>
      </c>
      <c r="D3300" s="133">
        <f>SUMIF(B$3:B$3844,B3300,M$3:M$3844)/(SUMIF(B$3:B$3844,B3300,J$3:J$3844))</f>
        <v>0.76375217139548346</v>
      </c>
      <c r="E3300" s="75">
        <v>37536</v>
      </c>
      <c r="F3300" s="46" t="s">
        <v>2351</v>
      </c>
      <c r="G3300" s="23"/>
      <c r="H3300" s="23"/>
      <c r="I3300" s="41">
        <v>508</v>
      </c>
      <c r="J3300" s="41">
        <v>727</v>
      </c>
      <c r="K3300" s="76"/>
      <c r="L3300" s="80"/>
      <c r="M3300" s="134">
        <f>IF(L3300="",I3300,(MIN(J3300,(L3300*1.6*J3300))))</f>
        <v>508</v>
      </c>
      <c r="N3300" s="127">
        <f>IF(M3300=0,0,(M3300/J3300))</f>
        <v>0.69876203576341123</v>
      </c>
    </row>
    <row r="3301" spans="2:14">
      <c r="B3301" s="72">
        <v>127774</v>
      </c>
      <c r="C3301" s="74" t="s">
        <v>2313</v>
      </c>
      <c r="D3301" s="133">
        <f>SUMIF(B$3:B$3844,B3301,M$3:M$3844)/(SUMIF(B$3:B$3844,B3301,J$3:J$3844))</f>
        <v>0.76375217139548346</v>
      </c>
      <c r="E3301" s="74">
        <v>37556</v>
      </c>
      <c r="F3301" s="48" t="s">
        <v>2352</v>
      </c>
      <c r="G3301" s="47"/>
      <c r="H3301" s="47"/>
      <c r="I3301" s="40">
        <v>381</v>
      </c>
      <c r="J3301" s="40">
        <v>490</v>
      </c>
      <c r="K3301" s="76"/>
      <c r="L3301" s="80"/>
      <c r="M3301" s="134">
        <f>IF(L3301="",I3301,(MIN(J3301,(L3301*1.6*J3301))))</f>
        <v>381</v>
      </c>
      <c r="N3301" s="127">
        <f>IF(M3301=0,0,(M3301/J3301))</f>
        <v>0.77755102040816326</v>
      </c>
    </row>
    <row r="3302" spans="2:14">
      <c r="B3302" s="73">
        <v>127774</v>
      </c>
      <c r="C3302" s="75" t="s">
        <v>2313</v>
      </c>
      <c r="D3302" s="133">
        <f>SUMIF(B$3:B$3844,B3302,M$3:M$3844)/(SUMIF(B$3:B$3844,B3302,J$3:J$3844))</f>
        <v>0.76375217139548346</v>
      </c>
      <c r="E3302" s="75">
        <v>37535</v>
      </c>
      <c r="F3302" s="46" t="s">
        <v>2353</v>
      </c>
      <c r="G3302" s="23"/>
      <c r="H3302" s="23"/>
      <c r="I3302" s="41">
        <v>680</v>
      </c>
      <c r="J3302" s="41">
        <v>1034</v>
      </c>
      <c r="K3302" s="76"/>
      <c r="L3302" s="80"/>
      <c r="M3302" s="134">
        <f>IF(L3302="",I3302,(MIN(J3302,(L3302*1.6*J3302))))</f>
        <v>680</v>
      </c>
      <c r="N3302" s="127">
        <f>IF(M3302=0,0,(M3302/J3302))</f>
        <v>0.65764023210831724</v>
      </c>
    </row>
    <row r="3303" spans="2:14">
      <c r="B3303" s="72">
        <v>127774</v>
      </c>
      <c r="C3303" s="74" t="s">
        <v>2313</v>
      </c>
      <c r="D3303" s="133">
        <f>SUMIF(B$3:B$3844,B3303,M$3:M$3844)/(SUMIF(B$3:B$3844,B3303,J$3:J$3844))</f>
        <v>0.76375217139548346</v>
      </c>
      <c r="E3303" s="74">
        <v>37631</v>
      </c>
      <c r="F3303" s="48" t="s">
        <v>2354</v>
      </c>
      <c r="G3303" s="47"/>
      <c r="H3303" s="47"/>
      <c r="I3303" s="40">
        <v>606</v>
      </c>
      <c r="J3303" s="40">
        <v>846</v>
      </c>
      <c r="K3303" s="76"/>
      <c r="L3303" s="80"/>
      <c r="M3303" s="134">
        <f>IF(L3303="",I3303,(MIN(J3303,(L3303*1.6*J3303))))</f>
        <v>606</v>
      </c>
      <c r="N3303" s="127">
        <f>IF(M3303=0,0,(M3303/J3303))</f>
        <v>0.71631205673758869</v>
      </c>
    </row>
    <row r="3304" spans="2:14">
      <c r="B3304" s="73">
        <v>127774</v>
      </c>
      <c r="C3304" s="75" t="s">
        <v>2313</v>
      </c>
      <c r="D3304" s="133">
        <f>SUMIF(B$3:B$3844,B3304,M$3:M$3844)/(SUMIF(B$3:B$3844,B3304,J$3:J$3844))</f>
        <v>0.76375217139548346</v>
      </c>
      <c r="E3304" s="75">
        <v>16067669</v>
      </c>
      <c r="F3304" s="46" t="s">
        <v>2355</v>
      </c>
      <c r="G3304" s="23"/>
      <c r="H3304" s="23"/>
      <c r="I3304" s="41">
        <v>75</v>
      </c>
      <c r="J3304" s="41">
        <v>85</v>
      </c>
      <c r="K3304" s="76"/>
      <c r="L3304" s="80"/>
      <c r="M3304" s="134">
        <f>IF(L3304="",I3304,(MIN(J3304,(L3304*1.6*J3304))))</f>
        <v>75</v>
      </c>
      <c r="N3304" s="127">
        <f>IF(M3304=0,0,(M3304/J3304))</f>
        <v>0.88235294117647056</v>
      </c>
    </row>
    <row r="3305" spans="2:14">
      <c r="B3305" s="72">
        <v>127774</v>
      </c>
      <c r="C3305" s="74" t="s">
        <v>2313</v>
      </c>
      <c r="D3305" s="133">
        <f>SUMIF(B$3:B$3844,B3305,M$3:M$3844)/(SUMIF(B$3:B$3844,B3305,J$3:J$3844))</f>
        <v>0.76375217139548346</v>
      </c>
      <c r="E3305" s="74">
        <v>37620</v>
      </c>
      <c r="F3305" s="48" t="s">
        <v>2356</v>
      </c>
      <c r="G3305" s="47"/>
      <c r="H3305" s="47"/>
      <c r="I3305" s="40"/>
      <c r="J3305" s="40">
        <v>0</v>
      </c>
      <c r="K3305" s="76"/>
      <c r="L3305" s="80"/>
      <c r="M3305" s="134">
        <f>IF(L3305="",I3305,(MIN(J3305,(L3305*1.6*J3305))))</f>
        <v>0</v>
      </c>
      <c r="N3305" s="127">
        <f>IF(M3305=0,0,(M3305/J3305))</f>
        <v>0</v>
      </c>
    </row>
    <row r="3306" spans="2:14" ht="30">
      <c r="B3306" s="73">
        <v>127774</v>
      </c>
      <c r="C3306" s="75" t="s">
        <v>2313</v>
      </c>
      <c r="D3306" s="133">
        <f>SUMIF(B$3:B$3844,B3306,M$3:M$3844)/(SUMIF(B$3:B$3844,B3306,J$3:J$3844))</f>
        <v>0.76375217139548346</v>
      </c>
      <c r="E3306" s="75"/>
      <c r="F3306" s="46" t="s">
        <v>2357</v>
      </c>
      <c r="G3306" s="23"/>
      <c r="H3306" s="23"/>
      <c r="I3306" s="41"/>
      <c r="J3306" s="41" t="s">
        <v>798</v>
      </c>
      <c r="K3306" s="76"/>
      <c r="L3306" s="80"/>
      <c r="M3306" s="134">
        <f>IF(L3306="",I3306,(MIN(J3306,(L3306*1.6*J3306))))</f>
        <v>0</v>
      </c>
      <c r="N3306" s="127">
        <f>IF(M3306=0,0,(M3306/J3306))</f>
        <v>0</v>
      </c>
    </row>
    <row r="3307" spans="2:14">
      <c r="B3307" s="72">
        <v>127774</v>
      </c>
      <c r="C3307" s="74" t="s">
        <v>2313</v>
      </c>
      <c r="D3307" s="133">
        <f>SUMIF(B$3:B$3844,B3307,M$3:M$3844)/(SUMIF(B$3:B$3844,B3307,J$3:J$3844))</f>
        <v>0.76375217139548346</v>
      </c>
      <c r="E3307" s="74">
        <v>16067093</v>
      </c>
      <c r="F3307" s="48" t="s">
        <v>2358</v>
      </c>
      <c r="G3307" s="47"/>
      <c r="H3307" s="47"/>
      <c r="I3307" s="40"/>
      <c r="J3307" s="40">
        <v>0</v>
      </c>
      <c r="K3307" s="76"/>
      <c r="L3307" s="80"/>
      <c r="M3307" s="134">
        <f>IF(L3307="",I3307,(MIN(J3307,(L3307*1.6*J3307))))</f>
        <v>0</v>
      </c>
      <c r="N3307" s="127">
        <f>IF(M3307=0,0,(M3307/J3307))</f>
        <v>0</v>
      </c>
    </row>
    <row r="3308" spans="2:14">
      <c r="B3308" s="73">
        <v>127774</v>
      </c>
      <c r="C3308" s="75" t="s">
        <v>2313</v>
      </c>
      <c r="D3308" s="133">
        <f>SUMIF(B$3:B$3844,B3308,M$3:M$3844)/(SUMIF(B$3:B$3844,B3308,J$3:J$3844))</f>
        <v>0.76375217139548346</v>
      </c>
      <c r="E3308" s="75">
        <v>37632</v>
      </c>
      <c r="F3308" s="46" t="s">
        <v>2359</v>
      </c>
      <c r="G3308" s="23"/>
      <c r="H3308" s="23"/>
      <c r="I3308" s="41">
        <v>509</v>
      </c>
      <c r="J3308" s="41">
        <v>610</v>
      </c>
      <c r="K3308" s="76"/>
      <c r="L3308" s="80"/>
      <c r="M3308" s="134">
        <f>IF(L3308="",I3308,(MIN(J3308,(L3308*1.6*J3308))))</f>
        <v>509</v>
      </c>
      <c r="N3308" s="127">
        <f>IF(M3308=0,0,(M3308/J3308))</f>
        <v>0.83442622950819667</v>
      </c>
    </row>
    <row r="3309" spans="2:14">
      <c r="B3309" s="72">
        <v>127774</v>
      </c>
      <c r="C3309" s="74" t="s">
        <v>2313</v>
      </c>
      <c r="D3309" s="133">
        <f>SUMIF(B$3:B$3844,B3309,M$3:M$3844)/(SUMIF(B$3:B$3844,B3309,J$3:J$3844))</f>
        <v>0.76375217139548346</v>
      </c>
      <c r="E3309" s="74">
        <v>38781</v>
      </c>
      <c r="F3309" s="48" t="s">
        <v>2360</v>
      </c>
      <c r="G3309" s="47"/>
      <c r="H3309" s="47"/>
      <c r="I3309" s="40">
        <v>671</v>
      </c>
      <c r="J3309" s="40">
        <v>741</v>
      </c>
      <c r="K3309" s="76"/>
      <c r="L3309" s="80"/>
      <c r="M3309" s="134">
        <f>IF(L3309="",I3309,(MIN(J3309,(L3309*1.6*J3309))))</f>
        <v>671</v>
      </c>
      <c r="N3309" s="127">
        <f>IF(M3309=0,0,(M3309/J3309))</f>
        <v>0.90553306342780027</v>
      </c>
    </row>
    <row r="3310" spans="2:14">
      <c r="B3310" s="73">
        <v>127774</v>
      </c>
      <c r="C3310" s="75" t="s">
        <v>2313</v>
      </c>
      <c r="D3310" s="133">
        <f>SUMIF(B$3:B$3844,B3310,M$3:M$3844)/(SUMIF(B$3:B$3844,B3310,J$3:J$3844))</f>
        <v>0.76375217139548346</v>
      </c>
      <c r="E3310" s="75">
        <v>38783</v>
      </c>
      <c r="F3310" s="46" t="s">
        <v>2361</v>
      </c>
      <c r="G3310" s="23"/>
      <c r="H3310" s="23"/>
      <c r="I3310" s="41">
        <v>527</v>
      </c>
      <c r="J3310" s="41">
        <v>648</v>
      </c>
      <c r="K3310" s="76"/>
      <c r="L3310" s="80"/>
      <c r="M3310" s="134">
        <f>IF(L3310="",I3310,(MIN(J3310,(L3310*1.6*J3310))))</f>
        <v>527</v>
      </c>
      <c r="N3310" s="127">
        <f>IF(M3310=0,0,(M3310/J3310))</f>
        <v>0.81327160493827155</v>
      </c>
    </row>
    <row r="3311" spans="2:14">
      <c r="B3311" s="72">
        <v>127559</v>
      </c>
      <c r="C3311" s="74" t="s">
        <v>2314</v>
      </c>
      <c r="D3311" s="133">
        <f>SUMIF(B$3:B$3844,B3311,M$3:M$3844)/(SUMIF(B$3:B$3844,B3311,J$3:J$3844))</f>
        <v>0.99370756747805933</v>
      </c>
      <c r="E3311" s="74">
        <v>208430</v>
      </c>
      <c r="F3311" s="48" t="s">
        <v>2362</v>
      </c>
      <c r="G3311" s="47"/>
      <c r="H3311" s="47"/>
      <c r="I3311" s="40"/>
      <c r="J3311" s="40">
        <v>675</v>
      </c>
      <c r="K3311" s="76">
        <v>2015</v>
      </c>
      <c r="L3311" s="80">
        <v>0.70709999999999995</v>
      </c>
      <c r="M3311" s="134">
        <f>IF(L3311="",I3311,(MIN(J3311,(L3311*1.6*J3311))))</f>
        <v>675</v>
      </c>
      <c r="N3311" s="127">
        <f>IF(M3311=0,0,(M3311/J3311))</f>
        <v>1</v>
      </c>
    </row>
    <row r="3312" spans="2:14">
      <c r="B3312" s="73">
        <v>127559</v>
      </c>
      <c r="C3312" s="75" t="s">
        <v>2314</v>
      </c>
      <c r="D3312" s="133">
        <f>SUMIF(B$3:B$3844,B3312,M$3:M$3844)/(SUMIF(B$3:B$3844,B3312,J$3:J$3844))</f>
        <v>0.99370756747805933</v>
      </c>
      <c r="E3312" s="75">
        <v>34738</v>
      </c>
      <c r="F3312" s="46" t="s">
        <v>2363</v>
      </c>
      <c r="G3312" s="23"/>
      <c r="H3312" s="23"/>
      <c r="I3312" s="41"/>
      <c r="J3312" s="41">
        <v>746</v>
      </c>
      <c r="K3312" s="76">
        <v>2015</v>
      </c>
      <c r="L3312" s="80">
        <v>0.70709999999999995</v>
      </c>
      <c r="M3312" s="134">
        <f>IF(L3312="",I3312,(MIN(J3312,(L3312*1.6*J3312))))</f>
        <v>746</v>
      </c>
      <c r="N3312" s="127">
        <f>IF(M3312=0,0,(M3312/J3312))</f>
        <v>1</v>
      </c>
    </row>
    <row r="3313" spans="2:14">
      <c r="B3313" s="72">
        <v>127559</v>
      </c>
      <c r="C3313" s="74" t="s">
        <v>2314</v>
      </c>
      <c r="D3313" s="133">
        <f>SUMIF(B$3:B$3844,B3313,M$3:M$3844)/(SUMIF(B$3:B$3844,B3313,J$3:J$3844))</f>
        <v>0.99370756747805933</v>
      </c>
      <c r="E3313" s="74">
        <v>228439</v>
      </c>
      <c r="F3313" s="48" t="s">
        <v>2364</v>
      </c>
      <c r="G3313" s="47"/>
      <c r="H3313" s="47"/>
      <c r="I3313" s="40">
        <v>2</v>
      </c>
      <c r="J3313" s="40">
        <v>40</v>
      </c>
      <c r="K3313" s="76"/>
      <c r="L3313" s="80"/>
      <c r="M3313" s="134">
        <f>IF(L3313="",I3313,(MIN(J3313,(L3313*1.6*J3313))))</f>
        <v>2</v>
      </c>
      <c r="N3313" s="127">
        <f>IF(M3313=0,0,(M3313/J3313))</f>
        <v>0.05</v>
      </c>
    </row>
    <row r="3314" spans="2:14">
      <c r="B3314" s="73">
        <v>127559</v>
      </c>
      <c r="C3314" s="75" t="s">
        <v>2314</v>
      </c>
      <c r="D3314" s="133">
        <f>SUMIF(B$3:B$3844,B3314,M$3:M$3844)/(SUMIF(B$3:B$3844,B3314,J$3:J$3844))</f>
        <v>0.99370756747805933</v>
      </c>
      <c r="E3314" s="75">
        <v>127559</v>
      </c>
      <c r="F3314" s="46" t="s">
        <v>2365</v>
      </c>
      <c r="G3314" s="23"/>
      <c r="H3314" s="23"/>
      <c r="I3314" s="41"/>
      <c r="J3314" s="41">
        <v>0</v>
      </c>
      <c r="K3314" s="76"/>
      <c r="L3314" s="80"/>
      <c r="M3314" s="134">
        <f>IF(L3314="",I3314,(MIN(J3314,(L3314*1.6*J3314))))</f>
        <v>0</v>
      </c>
      <c r="N3314" s="127">
        <f>IF(M3314=0,0,(M3314/J3314))</f>
        <v>0</v>
      </c>
    </row>
    <row r="3315" spans="2:14">
      <c r="B3315" s="72">
        <v>127559</v>
      </c>
      <c r="C3315" s="74" t="s">
        <v>2314</v>
      </c>
      <c r="D3315" s="133">
        <f>SUMIF(B$3:B$3844,B3315,M$3:M$3844)/(SUMIF(B$3:B$3844,B3315,J$3:J$3844))</f>
        <v>0.99370756747805933</v>
      </c>
      <c r="E3315" s="74">
        <v>16042150</v>
      </c>
      <c r="F3315" s="48" t="s">
        <v>2366</v>
      </c>
      <c r="G3315" s="47"/>
      <c r="H3315" s="47"/>
      <c r="I3315" s="40"/>
      <c r="J3315" s="40">
        <v>774</v>
      </c>
      <c r="K3315" s="76">
        <v>2015</v>
      </c>
      <c r="L3315" s="80">
        <v>0.70709999999999995</v>
      </c>
      <c r="M3315" s="134">
        <f>IF(L3315="",I3315,(MIN(J3315,(L3315*1.6*J3315))))</f>
        <v>774</v>
      </c>
      <c r="N3315" s="127">
        <f>IF(M3315=0,0,(M3315/J3315))</f>
        <v>1</v>
      </c>
    </row>
    <row r="3316" spans="2:14">
      <c r="B3316" s="73">
        <v>127559</v>
      </c>
      <c r="C3316" s="75" t="s">
        <v>2314</v>
      </c>
      <c r="D3316" s="133">
        <f>SUMIF(B$3:B$3844,B3316,M$3:M$3844)/(SUMIF(B$3:B$3844,B3316,J$3:J$3844))</f>
        <v>0.99370756747805933</v>
      </c>
      <c r="E3316" s="75">
        <v>34800</v>
      </c>
      <c r="F3316" s="46" t="s">
        <v>2367</v>
      </c>
      <c r="G3316" s="23"/>
      <c r="H3316" s="23"/>
      <c r="I3316" s="41"/>
      <c r="J3316" s="41">
        <v>1257</v>
      </c>
      <c r="K3316" s="76">
        <v>2015</v>
      </c>
      <c r="L3316" s="80">
        <v>0.70709999999999995</v>
      </c>
      <c r="M3316" s="134">
        <f>IF(L3316="",I3316,(MIN(J3316,(L3316*1.6*J3316))))</f>
        <v>1257</v>
      </c>
      <c r="N3316" s="127">
        <f>IF(M3316=0,0,(M3316/J3316))</f>
        <v>1</v>
      </c>
    </row>
    <row r="3317" spans="2:14">
      <c r="B3317" s="72">
        <v>127559</v>
      </c>
      <c r="C3317" s="74" t="s">
        <v>2314</v>
      </c>
      <c r="D3317" s="133">
        <f>SUMIF(B$3:B$3844,B3317,M$3:M$3844)/(SUMIF(B$3:B$3844,B3317,J$3:J$3844))</f>
        <v>0.99370756747805933</v>
      </c>
      <c r="E3317" s="74">
        <v>34798</v>
      </c>
      <c r="F3317" s="48" t="s">
        <v>2368</v>
      </c>
      <c r="G3317" s="47"/>
      <c r="H3317" s="47"/>
      <c r="I3317" s="40"/>
      <c r="J3317" s="40">
        <v>705</v>
      </c>
      <c r="K3317" s="76">
        <v>2015</v>
      </c>
      <c r="L3317" s="80">
        <v>0.70709999999999995</v>
      </c>
      <c r="M3317" s="134">
        <f>IF(L3317="",I3317,(MIN(J3317,(L3317*1.6*J3317))))</f>
        <v>705</v>
      </c>
      <c r="N3317" s="127">
        <f>IF(M3317=0,0,(M3317/J3317))</f>
        <v>1</v>
      </c>
    </row>
    <row r="3318" spans="2:14">
      <c r="B3318" s="73">
        <v>127559</v>
      </c>
      <c r="C3318" s="75" t="s">
        <v>2314</v>
      </c>
      <c r="D3318" s="133">
        <f>SUMIF(B$3:B$3844,B3318,M$3:M$3844)/(SUMIF(B$3:B$3844,B3318,J$3:J$3844))</f>
        <v>0.99370756747805933</v>
      </c>
      <c r="E3318" s="75">
        <v>34799</v>
      </c>
      <c r="F3318" s="46" t="s">
        <v>2369</v>
      </c>
      <c r="G3318" s="23"/>
      <c r="H3318" s="23"/>
      <c r="I3318" s="41"/>
      <c r="J3318" s="41">
        <v>957</v>
      </c>
      <c r="K3318" s="76">
        <v>2015</v>
      </c>
      <c r="L3318" s="80">
        <v>0.70709999999999995</v>
      </c>
      <c r="M3318" s="134">
        <f>IF(L3318="",I3318,(MIN(J3318,(L3318*1.6*J3318))))</f>
        <v>957</v>
      </c>
      <c r="N3318" s="127">
        <f>IF(M3318=0,0,(M3318/J3318))</f>
        <v>1</v>
      </c>
    </row>
    <row r="3319" spans="2:14">
      <c r="B3319" s="72">
        <v>127559</v>
      </c>
      <c r="C3319" s="74" t="s">
        <v>2314</v>
      </c>
      <c r="D3319" s="133">
        <f>SUMIF(B$3:B$3844,B3319,M$3:M$3844)/(SUMIF(B$3:B$3844,B3319,J$3:J$3844))</f>
        <v>0.99370756747805933</v>
      </c>
      <c r="E3319" s="74">
        <v>34802</v>
      </c>
      <c r="F3319" s="48" t="s">
        <v>2370</v>
      </c>
      <c r="G3319" s="47"/>
      <c r="H3319" s="47"/>
      <c r="I3319" s="40"/>
      <c r="J3319" s="40">
        <v>885</v>
      </c>
      <c r="K3319" s="76">
        <v>2015</v>
      </c>
      <c r="L3319" s="80">
        <v>0.70709999999999995</v>
      </c>
      <c r="M3319" s="134">
        <f>IF(L3319="",I3319,(MIN(J3319,(L3319*1.6*J3319))))</f>
        <v>885</v>
      </c>
      <c r="N3319" s="127">
        <f>IF(M3319=0,0,(M3319/J3319))</f>
        <v>1</v>
      </c>
    </row>
    <row r="3320" spans="2:14">
      <c r="B3320" s="73">
        <v>127614</v>
      </c>
      <c r="C3320" s="75" t="s">
        <v>2315</v>
      </c>
      <c r="D3320" s="133">
        <f>SUMIF(B$3:B$3844,B3320,M$3:M$3844)/(SUMIF(B$3:B$3844,B3320,J$3:J$3844))</f>
        <v>0.9487067118644068</v>
      </c>
      <c r="E3320" s="75">
        <v>225534</v>
      </c>
      <c r="F3320" s="46" t="s">
        <v>2371</v>
      </c>
      <c r="G3320" s="23"/>
      <c r="H3320" s="23"/>
      <c r="I3320" s="41"/>
      <c r="J3320" s="41">
        <v>255</v>
      </c>
      <c r="K3320" s="76">
        <v>2015</v>
      </c>
      <c r="L3320" s="80">
        <v>0.65300000000000002</v>
      </c>
      <c r="M3320" s="134">
        <f>IF(L3320="",I3320,(MIN(J3320,(L3320*1.6*J3320))))</f>
        <v>255</v>
      </c>
      <c r="N3320" s="127">
        <f>IF(M3320=0,0,(M3320/J3320))</f>
        <v>1</v>
      </c>
    </row>
    <row r="3321" spans="2:14">
      <c r="B3321" s="72">
        <v>127614</v>
      </c>
      <c r="C3321" s="74" t="s">
        <v>2315</v>
      </c>
      <c r="D3321" s="133">
        <f>SUMIF(B$3:B$3844,B3321,M$3:M$3844)/(SUMIF(B$3:B$3844,B3321,J$3:J$3844))</f>
        <v>0.9487067118644068</v>
      </c>
      <c r="E3321" s="74">
        <v>35352</v>
      </c>
      <c r="F3321" s="48" t="s">
        <v>2372</v>
      </c>
      <c r="G3321" s="47"/>
      <c r="H3321" s="47"/>
      <c r="I3321" s="40"/>
      <c r="J3321" s="40">
        <v>717</v>
      </c>
      <c r="K3321" s="76">
        <v>2015</v>
      </c>
      <c r="L3321" s="80">
        <v>0.65300000000000002</v>
      </c>
      <c r="M3321" s="134">
        <f>IF(L3321="",I3321,(MIN(J3321,(L3321*1.6*J3321))))</f>
        <v>717</v>
      </c>
      <c r="N3321" s="127">
        <f>IF(M3321=0,0,(M3321/J3321))</f>
        <v>1</v>
      </c>
    </row>
    <row r="3322" spans="2:14">
      <c r="B3322" s="73">
        <v>127614</v>
      </c>
      <c r="C3322" s="75" t="s">
        <v>2315</v>
      </c>
      <c r="D3322" s="133">
        <f>SUMIF(B$3:B$3844,B3322,M$3:M$3844)/(SUMIF(B$3:B$3844,B3322,J$3:J$3844))</f>
        <v>0.9487067118644068</v>
      </c>
      <c r="E3322" s="75">
        <v>35368</v>
      </c>
      <c r="F3322" s="46" t="s">
        <v>2373</v>
      </c>
      <c r="G3322" s="23"/>
      <c r="H3322" s="23"/>
      <c r="I3322" s="41"/>
      <c r="J3322" s="41">
        <v>68</v>
      </c>
      <c r="K3322" s="76">
        <v>2015</v>
      </c>
      <c r="L3322" s="80">
        <v>0.65300000000000002</v>
      </c>
      <c r="M3322" s="134">
        <f>IF(L3322="",I3322,(MIN(J3322,(L3322*1.6*J3322))))</f>
        <v>68</v>
      </c>
      <c r="N3322" s="127">
        <f>IF(M3322=0,0,(M3322/J3322))</f>
        <v>1</v>
      </c>
    </row>
    <row r="3323" spans="2:14">
      <c r="B3323" s="72">
        <v>127614</v>
      </c>
      <c r="C3323" s="74" t="s">
        <v>2315</v>
      </c>
      <c r="D3323" s="133">
        <f>SUMIF(B$3:B$3844,B3323,M$3:M$3844)/(SUMIF(B$3:B$3844,B3323,J$3:J$3844))</f>
        <v>0.9487067118644068</v>
      </c>
      <c r="E3323" s="74">
        <v>233466</v>
      </c>
      <c r="F3323" s="48" t="s">
        <v>2374</v>
      </c>
      <c r="G3323" s="47"/>
      <c r="H3323" s="47"/>
      <c r="I3323" s="40"/>
      <c r="J3323" s="40">
        <v>607</v>
      </c>
      <c r="K3323" s="76">
        <v>2015</v>
      </c>
      <c r="L3323" s="80">
        <v>0.65300000000000002</v>
      </c>
      <c r="M3323" s="134">
        <f>IF(L3323="",I3323,(MIN(J3323,(L3323*1.6*J3323))))</f>
        <v>607</v>
      </c>
      <c r="N3323" s="127">
        <f>IF(M3323=0,0,(M3323/J3323))</f>
        <v>1</v>
      </c>
    </row>
    <row r="3324" spans="2:14">
      <c r="B3324" s="73">
        <v>127614</v>
      </c>
      <c r="C3324" s="75" t="s">
        <v>2315</v>
      </c>
      <c r="D3324" s="133">
        <f>SUMIF(B$3:B$3844,B3324,M$3:M$3844)/(SUMIF(B$3:B$3844,B3324,J$3:J$3844))</f>
        <v>0.9487067118644068</v>
      </c>
      <c r="E3324" s="75">
        <v>35347</v>
      </c>
      <c r="F3324" s="46" t="s">
        <v>2375</v>
      </c>
      <c r="G3324" s="23"/>
      <c r="H3324" s="23"/>
      <c r="I3324" s="41"/>
      <c r="J3324" s="41">
        <v>666</v>
      </c>
      <c r="K3324" s="76">
        <v>2015</v>
      </c>
      <c r="L3324" s="80">
        <v>0.48299999999999998</v>
      </c>
      <c r="M3324" s="134">
        <f>IF(L3324="",I3324,(MIN(J3324,(L3324*1.6*J3324))))</f>
        <v>514.6848</v>
      </c>
      <c r="N3324" s="127">
        <f>IF(M3324=0,0,(M3324/J3324))</f>
        <v>0.77280000000000004</v>
      </c>
    </row>
    <row r="3325" spans="2:14">
      <c r="B3325" s="72">
        <v>127614</v>
      </c>
      <c r="C3325" s="74" t="s">
        <v>2315</v>
      </c>
      <c r="D3325" s="133">
        <f>SUMIF(B$3:B$3844,B3325,M$3:M$3844)/(SUMIF(B$3:B$3844,B3325,J$3:J$3844))</f>
        <v>0.9487067118644068</v>
      </c>
      <c r="E3325" s="74">
        <v>35349</v>
      </c>
      <c r="F3325" s="48" t="s">
        <v>2376</v>
      </c>
      <c r="G3325" s="47"/>
      <c r="H3325" s="47"/>
      <c r="I3325" s="40"/>
      <c r="J3325" s="40">
        <v>568</v>
      </c>
      <c r="K3325" s="76">
        <v>2015</v>
      </c>
      <c r="L3325" s="80">
        <v>0.65300000000000002</v>
      </c>
      <c r="M3325" s="134">
        <f>IF(L3325="",I3325,(MIN(J3325,(L3325*1.6*J3325))))</f>
        <v>568</v>
      </c>
      <c r="N3325" s="127">
        <f>IF(M3325=0,0,(M3325/J3325))</f>
        <v>1</v>
      </c>
    </row>
    <row r="3326" spans="2:14">
      <c r="B3326" s="73">
        <v>127614</v>
      </c>
      <c r="C3326" s="75" t="s">
        <v>2315</v>
      </c>
      <c r="D3326" s="133">
        <f>SUMIF(B$3:B$3844,B3326,M$3:M$3844)/(SUMIF(B$3:B$3844,B3326,J$3:J$3844))</f>
        <v>0.9487067118644068</v>
      </c>
      <c r="E3326" s="75">
        <v>35354</v>
      </c>
      <c r="F3326" s="46" t="s">
        <v>2377</v>
      </c>
      <c r="G3326" s="23"/>
      <c r="H3326" s="23"/>
      <c r="I3326" s="41"/>
      <c r="J3326" s="41">
        <v>69</v>
      </c>
      <c r="K3326" s="76">
        <v>2015</v>
      </c>
      <c r="L3326" s="80">
        <v>0.65300000000000002</v>
      </c>
      <c r="M3326" s="134">
        <f>IF(L3326="",I3326,(MIN(J3326,(L3326*1.6*J3326))))</f>
        <v>69</v>
      </c>
      <c r="N3326" s="127">
        <f>IF(M3326=0,0,(M3326/J3326))</f>
        <v>1</v>
      </c>
    </row>
    <row r="3327" spans="2:14">
      <c r="B3327" s="73">
        <v>127555</v>
      </c>
      <c r="C3327" s="75" t="s">
        <v>1629</v>
      </c>
      <c r="D3327" s="133">
        <f>SUMIF(B$3:B$3844,B3327,M$3:M$3844)/(SUMIF(B$3:B$3844,B3327,J$3:J$3844))</f>
        <v>0.99058219178082196</v>
      </c>
      <c r="E3327" s="75">
        <v>34783</v>
      </c>
      <c r="F3327" s="46" t="str">
        <f>"LAKE BUTLER ELEMENTARY SCHOOL"</f>
        <v>LAKE BUTLER ELEMENTARY SCHOOL</v>
      </c>
      <c r="G3327" s="23"/>
      <c r="H3327" s="23"/>
      <c r="I3327" s="41"/>
      <c r="J3327" s="41">
        <v>981</v>
      </c>
      <c r="K3327" s="76">
        <v>2015</v>
      </c>
      <c r="L3327" s="76">
        <v>60.89</v>
      </c>
      <c r="M3327" s="134">
        <f>IF(L3327="",I3327,(MIN(J3327,(L3327*1.6*J3327))))</f>
        <v>981</v>
      </c>
      <c r="N3327" s="127">
        <f>IF(M3327=0,0,(M3327/J3327))</f>
        <v>1</v>
      </c>
    </row>
    <row r="3328" spans="2:14">
      <c r="B3328" s="72">
        <v>127555</v>
      </c>
      <c r="C3328" s="74" t="s">
        <v>1629</v>
      </c>
      <c r="D3328" s="133">
        <f>SUMIF(B$3:B$3844,B3328,M$3:M$3844)/(SUMIF(B$3:B$3844,B3328,J$3:J$3844))</f>
        <v>0.99058219178082196</v>
      </c>
      <c r="E3328" s="74">
        <v>34784</v>
      </c>
      <c r="F3328" s="48" t="str">
        <f>"LAKE BUTLER MIDDLE SCHOOL"</f>
        <v>LAKE BUTLER MIDDLE SCHOOL</v>
      </c>
      <c r="G3328" s="47"/>
      <c r="H3328" s="47"/>
      <c r="I3328" s="40"/>
      <c r="J3328" s="40">
        <v>718</v>
      </c>
      <c r="K3328" s="76">
        <v>2015</v>
      </c>
      <c r="L3328" s="76">
        <v>60.89</v>
      </c>
      <c r="M3328" s="134">
        <f>IF(L3328="",I3328,(MIN(J3328,(L3328*1.6*J3328))))</f>
        <v>718</v>
      </c>
      <c r="N3328" s="127">
        <f>IF(M3328=0,0,(M3328/J3328))</f>
        <v>1</v>
      </c>
    </row>
    <row r="3329" spans="2:14">
      <c r="B3329" s="73">
        <v>127555</v>
      </c>
      <c r="C3329" s="75" t="s">
        <v>1629</v>
      </c>
      <c r="D3329" s="133">
        <f>SUMIF(B$3:B$3844,B3329,M$3:M$3844)/(SUMIF(B$3:B$3844,B3329,J$3:J$3844))</f>
        <v>0.99058219178082196</v>
      </c>
      <c r="E3329" s="75">
        <v>227081</v>
      </c>
      <c r="F3329" s="46" t="str">
        <f>"THE OUTPOST"</f>
        <v>THE OUTPOST</v>
      </c>
      <c r="G3329" s="23"/>
      <c r="H3329" s="23"/>
      <c r="I3329" s="41"/>
      <c r="J3329" s="41">
        <v>9</v>
      </c>
      <c r="K3329" s="76">
        <v>2015</v>
      </c>
      <c r="L3329" s="76">
        <v>60.89</v>
      </c>
      <c r="M3329" s="134">
        <f>IF(L3329="",I3329,(MIN(J3329,(L3329*1.6*J3329))))</f>
        <v>9</v>
      </c>
      <c r="N3329" s="127">
        <f>IF(M3329=0,0,(M3329/J3329))</f>
        <v>1</v>
      </c>
    </row>
    <row r="3330" spans="2:14">
      <c r="B3330" s="72">
        <v>127555</v>
      </c>
      <c r="C3330" s="74" t="s">
        <v>1629</v>
      </c>
      <c r="D3330" s="133">
        <f>SUMIF(B$3:B$3844,B3330,M$3:M$3844)/(SUMIF(B$3:B$3844,B3330,J$3:J$3844))</f>
        <v>0.99058219178082196</v>
      </c>
      <c r="E3330" s="74">
        <v>34785</v>
      </c>
      <c r="F3330" s="48" t="s">
        <v>1630</v>
      </c>
      <c r="G3330" s="47"/>
      <c r="H3330" s="47"/>
      <c r="I3330" s="40"/>
      <c r="J3330" s="40">
        <v>606</v>
      </c>
      <c r="K3330" s="76">
        <v>2015</v>
      </c>
      <c r="L3330" s="76">
        <v>60.89</v>
      </c>
      <c r="M3330" s="134">
        <f>IF(L3330="",I3330,(MIN(J3330,(L3330*1.6*J3330))))</f>
        <v>606</v>
      </c>
      <c r="N3330" s="127">
        <f>IF(M3330=0,0,(M3330/J3330))</f>
        <v>1</v>
      </c>
    </row>
    <row r="3331" spans="2:14">
      <c r="B3331" s="73">
        <v>127555</v>
      </c>
      <c r="C3331" s="75" t="s">
        <v>1629</v>
      </c>
      <c r="D3331" s="133">
        <f>SUMIF(B$3:B$3844,B3331,M$3:M$3844)/(SUMIF(B$3:B$3844,B3331,J$3:J$3844))</f>
        <v>0.99058219178082196</v>
      </c>
      <c r="E3331" s="75">
        <v>17003049</v>
      </c>
      <c r="F3331" s="46" t="str">
        <f>"UNION DISTRICT OFFICE"</f>
        <v>UNION DISTRICT OFFICE</v>
      </c>
      <c r="G3331" s="23"/>
      <c r="H3331" s="23"/>
      <c r="I3331" s="41"/>
      <c r="J3331" s="41" t="str">
        <f>"0"</f>
        <v>0</v>
      </c>
      <c r="K3331" s="76"/>
      <c r="L3331" s="76"/>
      <c r="M3331" s="134">
        <f>IF(L3331="",I3331,(MIN(J3331,(L3331*1.6*J3331))))</f>
        <v>0</v>
      </c>
      <c r="N3331" s="127">
        <f>IF(M3331=0,0,(M3331/J3331))</f>
        <v>0</v>
      </c>
    </row>
    <row r="3332" spans="2:14">
      <c r="B3332" s="112">
        <v>127555</v>
      </c>
      <c r="C3332" s="113" t="s">
        <v>1629</v>
      </c>
      <c r="D3332" s="109">
        <f>SUMIF(B$3:B$3902,B3332,M$3:M$3902)/(SUMIF(B$3:B$3902,B3332,J$3:J$3902))</f>
        <v>0.99058219178082196</v>
      </c>
      <c r="E3332" s="114">
        <v>17004512</v>
      </c>
      <c r="F3332" s="115" t="s">
        <v>2706</v>
      </c>
      <c r="G3332" s="116"/>
      <c r="H3332" s="117"/>
      <c r="I3332" s="40"/>
      <c r="J3332" s="40"/>
      <c r="K3332" s="118"/>
      <c r="L3332" s="119"/>
      <c r="M3332" s="110">
        <f>IF(L3332="",I3332,(MIN(J3332,(L3332*1.6*J3332))))</f>
        <v>0</v>
      </c>
      <c r="N3332" s="127">
        <f>IF(M3332=0,0,(M3332/J3332))</f>
        <v>0</v>
      </c>
    </row>
    <row r="3333" spans="2:14">
      <c r="B3333" s="73">
        <v>127555</v>
      </c>
      <c r="C3333" s="75" t="s">
        <v>1629</v>
      </c>
      <c r="D3333" s="133">
        <f>SUMIF(B$3:B$3844,B3333,M$3:M$3844)/(SUMIF(B$3:B$3844,B3333,J$3:J$3844))</f>
        <v>0.99058219178082196</v>
      </c>
      <c r="E3333" s="75">
        <v>17004513</v>
      </c>
      <c r="F3333" s="46" t="s">
        <v>2425</v>
      </c>
      <c r="G3333" s="23"/>
      <c r="H3333" s="23"/>
      <c r="I3333" s="41">
        <v>0</v>
      </c>
      <c r="J3333" s="41" t="str">
        <f>"0"</f>
        <v>0</v>
      </c>
      <c r="K3333" s="76"/>
      <c r="L3333" s="76"/>
      <c r="M3333" s="134">
        <f>IF(L3333="",I3333,(MIN(J3333,(L3333*1.6*J3333))))</f>
        <v>0</v>
      </c>
      <c r="N3333" s="127">
        <f>IF(M3333=0,0,(M3333/J3333))</f>
        <v>0</v>
      </c>
    </row>
    <row r="3334" spans="2:14" ht="30">
      <c r="B3334" s="72">
        <v>127555</v>
      </c>
      <c r="C3334" s="74" t="s">
        <v>1629</v>
      </c>
      <c r="D3334" s="133">
        <f>SUMIF(B$3:B$3844,B3334,M$3:M$3844)/(SUMIF(B$3:B$3844,B3334,J$3:J$3844))</f>
        <v>0.99058219178082196</v>
      </c>
      <c r="E3334" s="74">
        <v>16044456</v>
      </c>
      <c r="F3334" s="48" t="s">
        <v>1631</v>
      </c>
      <c r="G3334" s="47"/>
      <c r="H3334" s="47"/>
      <c r="I3334" s="40"/>
      <c r="J3334" s="40">
        <v>22</v>
      </c>
      <c r="K3334" s="76"/>
      <c r="L3334" s="76"/>
      <c r="M3334" s="134">
        <f>IF(L3334="",I3334,(MIN(J3334,(L3334*1.6*J3334))))</f>
        <v>0</v>
      </c>
      <c r="N3334" s="127">
        <f>IF(M3334=0,0,(M3334/J3334))</f>
        <v>0</v>
      </c>
    </row>
    <row r="3335" spans="2:14">
      <c r="B3335" s="73">
        <v>127575</v>
      </c>
      <c r="C3335" s="75" t="s">
        <v>1470</v>
      </c>
      <c r="D3335" s="133">
        <f>SUMIF(B$3:B$3844,B3335,M$3:M$3844)/(SUMIF(B$3:B$3844,B3335,J$3:J$3844))</f>
        <v>0.65734639061744049</v>
      </c>
      <c r="E3335" s="75">
        <v>34932</v>
      </c>
      <c r="F3335" s="46" t="s">
        <v>1471</v>
      </c>
      <c r="G3335" s="23"/>
      <c r="H3335" s="23"/>
      <c r="I3335" s="41">
        <v>647</v>
      </c>
      <c r="J3335" s="41">
        <v>1102</v>
      </c>
      <c r="K3335" s="76"/>
      <c r="L3335" s="76"/>
      <c r="M3335" s="134">
        <f>IF(L3335="",I3335,(MIN(J3335,(L3335*1.6*J3335))))</f>
        <v>647</v>
      </c>
      <c r="N3335" s="127">
        <f>IF(M3335=0,0,(M3335/J3335))</f>
        <v>0.58711433756805809</v>
      </c>
    </row>
    <row r="3336" spans="2:14">
      <c r="B3336" s="72">
        <v>127575</v>
      </c>
      <c r="C3336" s="74" t="s">
        <v>1470</v>
      </c>
      <c r="D3336" s="133">
        <f>SUMIF(B$3:B$3844,B3336,M$3:M$3844)/(SUMIF(B$3:B$3844,B3336,J$3:J$3844))</f>
        <v>0.65734639061744049</v>
      </c>
      <c r="E3336" s="74">
        <v>35840</v>
      </c>
      <c r="F3336" s="48" t="str">
        <f>"BLUE LAKE ELEMENTARY SCHOOL"</f>
        <v>BLUE LAKE ELEMENTARY SCHOOL</v>
      </c>
      <c r="G3336" s="47"/>
      <c r="H3336" s="47"/>
      <c r="I3336" s="40">
        <v>588</v>
      </c>
      <c r="J3336" s="40">
        <v>702</v>
      </c>
      <c r="K3336" s="76"/>
      <c r="L3336" s="76"/>
      <c r="M3336" s="134">
        <f>IF(L3336="",I3336,(MIN(J3336,(L3336*1.6*J3336))))</f>
        <v>588</v>
      </c>
      <c r="N3336" s="127">
        <f>IF(M3336=0,0,(M3336/J3336))</f>
        <v>0.83760683760683763</v>
      </c>
    </row>
    <row r="3337" spans="2:14">
      <c r="B3337" s="73">
        <v>127575</v>
      </c>
      <c r="C3337" s="75" t="s">
        <v>1470</v>
      </c>
      <c r="D3337" s="133">
        <f>SUMIF(B$3:B$3844,B3337,M$3:M$3844)/(SUMIF(B$3:B$3844,B3337,J$3:J$3844))</f>
        <v>0.65734639061744049</v>
      </c>
      <c r="E3337" s="75">
        <v>34906</v>
      </c>
      <c r="F3337" s="46" t="str">
        <f>"CAMPBELL MIDDLE SCHOOL"</f>
        <v>CAMPBELL MIDDLE SCHOOL</v>
      </c>
      <c r="G3337" s="23"/>
      <c r="H3337" s="23"/>
      <c r="I3337" s="41">
        <v>769</v>
      </c>
      <c r="J3337" s="41">
        <v>869</v>
      </c>
      <c r="K3337" s="76"/>
      <c r="L3337" s="76"/>
      <c r="M3337" s="134">
        <f>IF(L3337="",I3337,(MIN(J3337,(L3337*1.6*J3337))))</f>
        <v>769</v>
      </c>
      <c r="N3337" s="127">
        <f>IF(M3337=0,0,(M3337/J3337))</f>
        <v>0.88492520138089759</v>
      </c>
    </row>
    <row r="3338" spans="2:14">
      <c r="B3338" s="72">
        <v>127575</v>
      </c>
      <c r="C3338" s="74" t="s">
        <v>1470</v>
      </c>
      <c r="D3338" s="133">
        <f>SUMIF(B$3:B$3844,B3338,M$3:M$3844)/(SUMIF(B$3:B$3844,B3338,J$3:J$3844))</f>
        <v>0.65734639061744049</v>
      </c>
      <c r="E3338" s="74">
        <v>16020293</v>
      </c>
      <c r="F3338" s="48" t="str">
        <f>"CENTRAL ADMINISTRATION"</f>
        <v>CENTRAL ADMINISTRATION</v>
      </c>
      <c r="G3338" s="47"/>
      <c r="H3338" s="47"/>
      <c r="I3338" s="40"/>
      <c r="J3338" s="40" t="str">
        <f>"0"</f>
        <v>0</v>
      </c>
      <c r="K3338" s="76"/>
      <c r="L3338" s="76"/>
      <c r="M3338" s="134">
        <f>IF(L3338="",I3338,(MIN(J3338,(L3338*1.6*J3338))))</f>
        <v>0</v>
      </c>
      <c r="N3338" s="127">
        <f>IF(M3338=0,0,(M3338/J3338))</f>
        <v>0</v>
      </c>
    </row>
    <row r="3339" spans="2:14">
      <c r="B3339" s="73">
        <v>127575</v>
      </c>
      <c r="C3339" s="75" t="s">
        <v>1470</v>
      </c>
      <c r="D3339" s="133">
        <f>SUMIF(B$3:B$3844,B3339,M$3:M$3844)/(SUMIF(B$3:B$3844,B3339,J$3:J$3844))</f>
        <v>0.65734639061744049</v>
      </c>
      <c r="E3339" s="75">
        <v>16055356</v>
      </c>
      <c r="F3339" s="46" t="str">
        <f>"CHAMPION ELEMENTARY SCHOOL"</f>
        <v>CHAMPION ELEMENTARY SCHOOL</v>
      </c>
      <c r="G3339" s="23"/>
      <c r="H3339" s="23"/>
      <c r="I3339" s="41">
        <v>508</v>
      </c>
      <c r="J3339" s="41">
        <v>586</v>
      </c>
      <c r="K3339" s="76"/>
      <c r="L3339" s="76"/>
      <c r="M3339" s="134">
        <f>IF(L3339="",I3339,(MIN(J3339,(L3339*1.6*J3339))))</f>
        <v>508</v>
      </c>
      <c r="N3339" s="127">
        <f>IF(M3339=0,0,(M3339/J3339))</f>
        <v>0.86689419795221845</v>
      </c>
    </row>
    <row r="3340" spans="2:14">
      <c r="B3340" s="72">
        <v>127575</v>
      </c>
      <c r="C3340" s="74" t="s">
        <v>1470</v>
      </c>
      <c r="D3340" s="133">
        <f>SUMIF(B$3:B$3844,B3340,M$3:M$3844)/(SUMIF(B$3:B$3844,B3340,J$3:J$3844))</f>
        <v>0.65734639061744049</v>
      </c>
      <c r="E3340" s="74">
        <v>34958</v>
      </c>
      <c r="F3340" s="48" t="str">
        <f>"CHISHOLM ELEMENTARY SCHOOL"</f>
        <v>CHISHOLM ELEMENTARY SCHOOL</v>
      </c>
      <c r="G3340" s="47"/>
      <c r="H3340" s="47"/>
      <c r="I3340" s="40">
        <v>260</v>
      </c>
      <c r="J3340" s="40">
        <v>387</v>
      </c>
      <c r="K3340" s="76"/>
      <c r="L3340" s="76"/>
      <c r="M3340" s="134">
        <f>IF(L3340="",I3340,(MIN(J3340,(L3340*1.6*J3340))))</f>
        <v>260</v>
      </c>
      <c r="N3340" s="127">
        <f>IF(M3340=0,0,(M3340/J3340))</f>
        <v>0.67183462532299743</v>
      </c>
    </row>
    <row r="3341" spans="2:14">
      <c r="B3341" s="73">
        <v>127575</v>
      </c>
      <c r="C3341" s="75" t="s">
        <v>1470</v>
      </c>
      <c r="D3341" s="133">
        <f>SUMIF(B$3:B$3844,B3341,M$3:M$3844)/(SUMIF(B$3:B$3844,B3341,J$3:J$3844))</f>
        <v>0.65734639061744049</v>
      </c>
      <c r="E3341" s="75">
        <v>16059274</v>
      </c>
      <c r="F3341" s="46" t="str">
        <f>"CITRUS GROVE ELEMENTARY"</f>
        <v>CITRUS GROVE ELEMENTARY</v>
      </c>
      <c r="G3341" s="23"/>
      <c r="H3341" s="23"/>
      <c r="I3341" s="41">
        <v>647</v>
      </c>
      <c r="J3341" s="41">
        <v>907</v>
      </c>
      <c r="K3341" s="76"/>
      <c r="L3341" s="76"/>
      <c r="M3341" s="134">
        <f>IF(L3341="",I3341,(MIN(J3341,(L3341*1.6*J3341))))</f>
        <v>647</v>
      </c>
      <c r="N3341" s="127">
        <f>IF(M3341=0,0,(M3341/J3341))</f>
        <v>0.71334068357221614</v>
      </c>
    </row>
    <row r="3342" spans="2:14">
      <c r="B3342" s="72">
        <v>127575</v>
      </c>
      <c r="C3342" s="74" t="s">
        <v>1470</v>
      </c>
      <c r="D3342" s="133">
        <f>SUMIF(B$3:B$3844,B3342,M$3:M$3844)/(SUMIF(B$3:B$3844,B3342,J$3:J$3844))</f>
        <v>0.65734639061744049</v>
      </c>
      <c r="E3342" s="74">
        <v>34963</v>
      </c>
      <c r="F3342" s="48" t="s">
        <v>1472</v>
      </c>
      <c r="G3342" s="47"/>
      <c r="H3342" s="47"/>
      <c r="I3342" s="40">
        <v>100</v>
      </c>
      <c r="J3342" s="40">
        <v>273</v>
      </c>
      <c r="K3342" s="76"/>
      <c r="L3342" s="76"/>
      <c r="M3342" s="134">
        <f>IF(L3342="",I3342,(MIN(J3342,(L3342*1.6*J3342))))</f>
        <v>100</v>
      </c>
      <c r="N3342" s="127">
        <f>IF(M3342=0,0,(M3342/J3342))</f>
        <v>0.36630036630036628</v>
      </c>
    </row>
    <row r="3343" spans="2:14">
      <c r="B3343" s="73">
        <v>127575</v>
      </c>
      <c r="C3343" s="75" t="s">
        <v>1470</v>
      </c>
      <c r="D3343" s="133">
        <f>SUMIF(B$3:B$3844,B3343,M$3:M$3844)/(SUMIF(B$3:B$3844,B3343,J$3:J$3844))</f>
        <v>0.65734639061744049</v>
      </c>
      <c r="E3343" s="75">
        <v>227666</v>
      </c>
      <c r="F3343" s="46" t="str">
        <f>"CREEKSIDE MIDDLE SCHOOL"</f>
        <v>CREEKSIDE MIDDLE SCHOOL</v>
      </c>
      <c r="G3343" s="23"/>
      <c r="H3343" s="23"/>
      <c r="I3343" s="41">
        <v>488</v>
      </c>
      <c r="J3343" s="41">
        <v>1188</v>
      </c>
      <c r="K3343" s="76"/>
      <c r="L3343" s="76"/>
      <c r="M3343" s="134">
        <f>IF(L3343="",I3343,(MIN(J3343,(L3343*1.6*J3343))))</f>
        <v>488</v>
      </c>
      <c r="N3343" s="127">
        <f>IF(M3343=0,0,(M3343/J3343))</f>
        <v>0.41077441077441079</v>
      </c>
    </row>
    <row r="3344" spans="2:14">
      <c r="B3344" s="72">
        <v>127575</v>
      </c>
      <c r="C3344" s="74" t="s">
        <v>1470</v>
      </c>
      <c r="D3344" s="133">
        <f>SUMIF(B$3:B$3844,B3344,M$3:M$3844)/(SUMIF(B$3:B$3844,B3344,J$3:J$3844))</f>
        <v>0.65734639061744049</v>
      </c>
      <c r="E3344" s="74">
        <v>16033730</v>
      </c>
      <c r="F3344" s="48" t="s">
        <v>1473</v>
      </c>
      <c r="G3344" s="47"/>
      <c r="H3344" s="47"/>
      <c r="I3344" s="40">
        <v>305</v>
      </c>
      <c r="J3344" s="40">
        <v>783</v>
      </c>
      <c r="K3344" s="76"/>
      <c r="L3344" s="76"/>
      <c r="M3344" s="134">
        <f>IF(L3344="",I3344,(MIN(J3344,(L3344*1.6*J3344))))</f>
        <v>305</v>
      </c>
      <c r="N3344" s="127">
        <f>IF(M3344=0,0,(M3344/J3344))</f>
        <v>0.38952745849297571</v>
      </c>
    </row>
    <row r="3345" spans="2:14">
      <c r="B3345" s="73">
        <v>127575</v>
      </c>
      <c r="C3345" s="75" t="s">
        <v>1470</v>
      </c>
      <c r="D3345" s="133">
        <f>SUMIF(B$3:B$3844,B3345,M$3:M$3844)/(SUMIF(B$3:B$3844,B3345,J$3:J$3844))</f>
        <v>0.65734639061744049</v>
      </c>
      <c r="E3345" s="75">
        <v>14882611</v>
      </c>
      <c r="F3345" s="46" t="s">
        <v>1474</v>
      </c>
      <c r="G3345" s="23"/>
      <c r="H3345" s="23"/>
      <c r="I3345" s="41">
        <v>513</v>
      </c>
      <c r="J3345" s="41">
        <v>942</v>
      </c>
      <c r="K3345" s="76"/>
      <c r="L3345" s="76"/>
      <c r="M3345" s="134">
        <f>IF(L3345="",I3345,(MIN(J3345,(L3345*1.6*J3345))))</f>
        <v>513</v>
      </c>
      <c r="N3345" s="127">
        <f>IF(M3345=0,0,(M3345/J3345))</f>
        <v>0.54458598726114649</v>
      </c>
    </row>
    <row r="3346" spans="2:14">
      <c r="B3346" s="72">
        <v>127575</v>
      </c>
      <c r="C3346" s="74" t="s">
        <v>1470</v>
      </c>
      <c r="D3346" s="133">
        <f>SUMIF(B$3:B$3844,B3346,M$3:M$3844)/(SUMIF(B$3:B$3844,B3346,J$3:J$3844))</f>
        <v>0.65734639061744049</v>
      </c>
      <c r="E3346" s="74">
        <v>35818</v>
      </c>
      <c r="F3346" s="48" t="str">
        <f>"DEBARY ELEMENTARY SCHOOL"</f>
        <v>DEBARY ELEMENTARY SCHOOL</v>
      </c>
      <c r="G3346" s="47"/>
      <c r="H3346" s="47"/>
      <c r="I3346" s="40">
        <v>347</v>
      </c>
      <c r="J3346" s="40">
        <v>760</v>
      </c>
      <c r="K3346" s="76"/>
      <c r="L3346" s="76"/>
      <c r="M3346" s="134">
        <f>IF(L3346="",I3346,(MIN(J3346,(L3346*1.6*J3346))))</f>
        <v>347</v>
      </c>
      <c r="N3346" s="127">
        <f>IF(M3346=0,0,(M3346/J3346))</f>
        <v>0.45657894736842103</v>
      </c>
    </row>
    <row r="3347" spans="2:14">
      <c r="B3347" s="73">
        <v>127575</v>
      </c>
      <c r="C3347" s="75" t="s">
        <v>1470</v>
      </c>
      <c r="D3347" s="133">
        <f>SUMIF(B$3:B$3844,B3347,M$3:M$3844)/(SUMIF(B$3:B$3844,B3347,J$3:J$3844))</f>
        <v>0.65734639061744049</v>
      </c>
      <c r="E3347" s="75">
        <v>35838</v>
      </c>
      <c r="F3347" s="46" t="str">
        <f>"DELAND HIGH SCHOOL"</f>
        <v>DELAND HIGH SCHOOL</v>
      </c>
      <c r="G3347" s="23"/>
      <c r="H3347" s="23"/>
      <c r="I3347" s="41">
        <v>1322</v>
      </c>
      <c r="J3347" s="41">
        <v>2433</v>
      </c>
      <c r="K3347" s="76"/>
      <c r="L3347" s="76"/>
      <c r="M3347" s="134">
        <f>IF(L3347="",I3347,(MIN(J3347,(L3347*1.6*J3347))))</f>
        <v>1322</v>
      </c>
      <c r="N3347" s="127">
        <f>IF(M3347=0,0,(M3347/J3347))</f>
        <v>0.5433621043978627</v>
      </c>
    </row>
    <row r="3348" spans="2:14">
      <c r="B3348" s="72">
        <v>127575</v>
      </c>
      <c r="C3348" s="74" t="s">
        <v>1470</v>
      </c>
      <c r="D3348" s="133">
        <f>SUMIF(B$3:B$3844,B3348,M$3:M$3844)/(SUMIF(B$3:B$3844,B3348,J$3:J$3844))</f>
        <v>0.65734639061744049</v>
      </c>
      <c r="E3348" s="74">
        <v>35842</v>
      </c>
      <c r="F3348" s="48" t="str">
        <f>"DELAND MIDDLE SCHOOL"</f>
        <v>DELAND MIDDLE SCHOOL</v>
      </c>
      <c r="G3348" s="47"/>
      <c r="H3348" s="47"/>
      <c r="I3348" s="40">
        <v>684</v>
      </c>
      <c r="J3348" s="40">
        <v>1006</v>
      </c>
      <c r="K3348" s="76"/>
      <c r="L3348" s="76"/>
      <c r="M3348" s="134">
        <f>IF(L3348="",I3348,(MIN(J3348,(L3348*1.6*J3348))))</f>
        <v>684</v>
      </c>
      <c r="N3348" s="127">
        <f>IF(M3348=0,0,(M3348/J3348))</f>
        <v>0.67992047713717696</v>
      </c>
    </row>
    <row r="3349" spans="2:14">
      <c r="B3349" s="73">
        <v>127575</v>
      </c>
      <c r="C3349" s="75" t="s">
        <v>1470</v>
      </c>
      <c r="D3349" s="133">
        <f>SUMIF(B$3:B$3844,B3349,M$3:M$3844)/(SUMIF(B$3:B$3844,B3349,J$3:J$3844))</f>
        <v>0.65734639061744049</v>
      </c>
      <c r="E3349" s="75">
        <v>35846</v>
      </c>
      <c r="F3349" s="46" t="str">
        <f>"DELTONA HIGH SCHOOL"</f>
        <v>DELTONA HIGH SCHOOL</v>
      </c>
      <c r="G3349" s="23"/>
      <c r="H3349" s="23"/>
      <c r="I3349" s="41">
        <v>1155</v>
      </c>
      <c r="J3349" s="41">
        <v>1769</v>
      </c>
      <c r="K3349" s="76"/>
      <c r="L3349" s="76"/>
      <c r="M3349" s="134">
        <f>IF(L3349="",I3349,(MIN(J3349,(L3349*1.6*J3349))))</f>
        <v>1155</v>
      </c>
      <c r="N3349" s="127">
        <f>IF(M3349=0,0,(M3349/J3349))</f>
        <v>0.65291124929338606</v>
      </c>
    </row>
    <row r="3350" spans="2:14">
      <c r="B3350" s="72">
        <v>127575</v>
      </c>
      <c r="C3350" s="74" t="s">
        <v>1470</v>
      </c>
      <c r="D3350" s="133">
        <f>SUMIF(B$3:B$3844,B3350,M$3:M$3844)/(SUMIF(B$3:B$3844,B3350,J$3:J$3844))</f>
        <v>0.65734639061744049</v>
      </c>
      <c r="E3350" s="74">
        <v>35847</v>
      </c>
      <c r="F3350" s="48" t="s">
        <v>1475</v>
      </c>
      <c r="G3350" s="47"/>
      <c r="H3350" s="47"/>
      <c r="I3350" s="40">
        <v>675</v>
      </c>
      <c r="J3350" s="40">
        <v>823</v>
      </c>
      <c r="K3350" s="76"/>
      <c r="L3350" s="76"/>
      <c r="M3350" s="134">
        <f>IF(L3350="",I3350,(MIN(J3350,(L3350*1.6*J3350))))</f>
        <v>675</v>
      </c>
      <c r="N3350" s="127">
        <f>IF(M3350=0,0,(M3350/J3350))</f>
        <v>0.82017010935601453</v>
      </c>
    </row>
    <row r="3351" spans="2:14">
      <c r="B3351" s="73">
        <v>127575</v>
      </c>
      <c r="C3351" s="75" t="s">
        <v>1470</v>
      </c>
      <c r="D3351" s="133">
        <f>SUMIF(B$3:B$3844,B3351,M$3:M$3844)/(SUMIF(B$3:B$3844,B3351,J$3:J$3844))</f>
        <v>0.65734639061744049</v>
      </c>
      <c r="E3351" s="75">
        <v>35850</v>
      </c>
      <c r="F3351" s="46" t="str">
        <f>"DELTONA MIDDLE SCHOOL"</f>
        <v>DELTONA MIDDLE SCHOOL</v>
      </c>
      <c r="G3351" s="23"/>
      <c r="H3351" s="23"/>
      <c r="I3351" s="41">
        <v>815</v>
      </c>
      <c r="J3351" s="41">
        <v>1046</v>
      </c>
      <c r="K3351" s="76"/>
      <c r="L3351" s="76"/>
      <c r="M3351" s="134">
        <f>IF(L3351="",I3351,(MIN(J3351,(L3351*1.6*J3351))))</f>
        <v>815</v>
      </c>
      <c r="N3351" s="127">
        <f>IF(M3351=0,0,(M3351/J3351))</f>
        <v>0.77915869980879537</v>
      </c>
    </row>
    <row r="3352" spans="2:14">
      <c r="B3352" s="72">
        <v>127575</v>
      </c>
      <c r="C3352" s="74" t="s">
        <v>1470</v>
      </c>
      <c r="D3352" s="133">
        <f>SUMIF(B$3:B$3844,B3352,M$3:M$3844)/(SUMIF(B$3:B$3844,B3352,J$3:J$3844))</f>
        <v>0.65734639061744049</v>
      </c>
      <c r="E3352" s="74">
        <v>35848</v>
      </c>
      <c r="F3352" s="48" t="str">
        <f>"DISCOVERY ELEMENTARY SCHOOL"</f>
        <v>DISCOVERY ELEMENTARY SCHOOL</v>
      </c>
      <c r="G3352" s="47"/>
      <c r="H3352" s="47"/>
      <c r="I3352" s="40">
        <v>569</v>
      </c>
      <c r="J3352" s="40">
        <v>647</v>
      </c>
      <c r="K3352" s="76"/>
      <c r="L3352" s="76"/>
      <c r="M3352" s="134">
        <f>IF(L3352="",I3352,(MIN(J3352,(L3352*1.6*J3352))))</f>
        <v>569</v>
      </c>
      <c r="N3352" s="127">
        <f>IF(M3352=0,0,(M3352/J3352))</f>
        <v>0.87944358578052551</v>
      </c>
    </row>
    <row r="3353" spans="2:14">
      <c r="B3353" s="73">
        <v>127575</v>
      </c>
      <c r="C3353" s="75" t="s">
        <v>1470</v>
      </c>
      <c r="D3353" s="133">
        <f>SUMIF(B$3:B$3844,B3353,M$3:M$3844)/(SUMIF(B$3:B$3844,B3353,J$3:J$3844))</f>
        <v>0.65734639061744049</v>
      </c>
      <c r="E3353" s="75">
        <v>34942</v>
      </c>
      <c r="F3353" s="46" t="str">
        <f>"EDGEWATER PUBLIC SCHOOL"</f>
        <v>EDGEWATER PUBLIC SCHOOL</v>
      </c>
      <c r="G3353" s="23"/>
      <c r="H3353" s="23"/>
      <c r="I3353" s="41">
        <v>470</v>
      </c>
      <c r="J3353" s="41">
        <v>595</v>
      </c>
      <c r="K3353" s="76"/>
      <c r="L3353" s="76"/>
      <c r="M3353" s="134">
        <f>IF(L3353="",I3353,(MIN(J3353,(L3353*1.6*J3353))))</f>
        <v>470</v>
      </c>
      <c r="N3353" s="127">
        <f>IF(M3353=0,0,(M3353/J3353))</f>
        <v>0.78991596638655459</v>
      </c>
    </row>
    <row r="3354" spans="2:14">
      <c r="B3354" s="72">
        <v>127575</v>
      </c>
      <c r="C3354" s="74" t="s">
        <v>1470</v>
      </c>
      <c r="D3354" s="133">
        <f>SUMIF(B$3:B$3844,B3354,M$3:M$3844)/(SUMIF(B$3:B$3844,B3354,J$3:J$3844))</f>
        <v>0.65734639061744049</v>
      </c>
      <c r="E3354" s="74">
        <v>35835</v>
      </c>
      <c r="F3354" s="48" t="s">
        <v>1476</v>
      </c>
      <c r="G3354" s="47"/>
      <c r="H3354" s="47"/>
      <c r="I3354" s="40">
        <v>397</v>
      </c>
      <c r="J3354" s="40">
        <v>406</v>
      </c>
      <c r="K3354" s="76"/>
      <c r="L3354" s="76"/>
      <c r="M3354" s="134">
        <f>IF(L3354="",I3354,(MIN(J3354,(L3354*1.6*J3354))))</f>
        <v>397</v>
      </c>
      <c r="N3354" s="127">
        <f>IF(M3354=0,0,(M3354/J3354))</f>
        <v>0.97783251231527091</v>
      </c>
    </row>
    <row r="3355" spans="2:14">
      <c r="B3355" s="73">
        <v>127575</v>
      </c>
      <c r="C3355" s="75" t="s">
        <v>1470</v>
      </c>
      <c r="D3355" s="133">
        <f>SUMIF(B$3:B$3844,B3355,M$3:M$3844)/(SUMIF(B$3:B$3844,B3355,J$3:J$3844))</f>
        <v>0.65734639061744049</v>
      </c>
      <c r="E3355" s="75">
        <v>35851</v>
      </c>
      <c r="F3355" s="46" t="str">
        <f>"ENTERPRISE ELEMENTARY SCHOOL"</f>
        <v>ENTERPRISE ELEMENTARY SCHOOL</v>
      </c>
      <c r="G3355" s="23"/>
      <c r="H3355" s="23"/>
      <c r="I3355" s="41">
        <v>451</v>
      </c>
      <c r="J3355" s="41">
        <v>578</v>
      </c>
      <c r="K3355" s="76"/>
      <c r="L3355" s="76"/>
      <c r="M3355" s="134">
        <f>IF(L3355="",I3355,(MIN(J3355,(L3355*1.6*J3355))))</f>
        <v>451</v>
      </c>
      <c r="N3355" s="127">
        <f>IF(M3355=0,0,(M3355/J3355))</f>
        <v>0.7802768166089965</v>
      </c>
    </row>
    <row r="3356" spans="2:14">
      <c r="B3356" s="72">
        <v>127575</v>
      </c>
      <c r="C3356" s="74" t="s">
        <v>1470</v>
      </c>
      <c r="D3356" s="133">
        <f>SUMIF(B$3:B$3844,B3356,M$3:M$3844)/(SUMIF(B$3:B$3844,B3356,J$3:J$3844))</f>
        <v>0.65734639061744049</v>
      </c>
      <c r="E3356" s="74">
        <v>16020294</v>
      </c>
      <c r="F3356" s="48" t="str">
        <f>"FACILITIES SERVICES DAYTONA"</f>
        <v>FACILITIES SERVICES DAYTONA</v>
      </c>
      <c r="G3356" s="47"/>
      <c r="H3356" s="47"/>
      <c r="I3356" s="40"/>
      <c r="J3356" s="40" t="str">
        <f>"0"</f>
        <v>0</v>
      </c>
      <c r="K3356" s="76"/>
      <c r="L3356" s="76"/>
      <c r="M3356" s="134">
        <f>IF(L3356="",I3356,(MIN(J3356,(L3356*1.6*J3356))))</f>
        <v>0</v>
      </c>
      <c r="N3356" s="127">
        <f>IF(M3356=0,0,(M3356/J3356))</f>
        <v>0</v>
      </c>
    </row>
    <row r="3357" spans="2:14">
      <c r="B3357" s="73">
        <v>127575</v>
      </c>
      <c r="C3357" s="75" t="s">
        <v>1470</v>
      </c>
      <c r="D3357" s="133">
        <f>SUMIF(B$3:B$3844,B3357,M$3:M$3844)/(SUMIF(B$3:B$3844,B3357,J$3:J$3844))</f>
        <v>0.65734639061744049</v>
      </c>
      <c r="E3357" s="75">
        <v>16020295</v>
      </c>
      <c r="F3357" s="46" t="str">
        <f>"FACILITIES SERVICES DELTONA"</f>
        <v>FACILITIES SERVICES DELTONA</v>
      </c>
      <c r="G3357" s="23"/>
      <c r="H3357" s="23"/>
      <c r="I3357" s="41"/>
      <c r="J3357" s="41" t="str">
        <f>"0"</f>
        <v>0</v>
      </c>
      <c r="K3357" s="76"/>
      <c r="L3357" s="76"/>
      <c r="M3357" s="134">
        <f>IF(L3357="",I3357,(MIN(J3357,(L3357*1.6*J3357))))</f>
        <v>0</v>
      </c>
      <c r="N3357" s="127">
        <f>IF(M3357=0,0,(M3357/J3357))</f>
        <v>0</v>
      </c>
    </row>
    <row r="3358" spans="2:14">
      <c r="B3358" s="72">
        <v>127575</v>
      </c>
      <c r="C3358" s="74" t="s">
        <v>1470</v>
      </c>
      <c r="D3358" s="133">
        <f>SUMIF(B$3:B$3844,B3358,M$3:M$3844)/(SUMIF(B$3:B$3844,B3358,J$3:J$3844))</f>
        <v>0.65734639061744049</v>
      </c>
      <c r="E3358" s="74">
        <v>35852</v>
      </c>
      <c r="F3358" s="48" t="str">
        <f>"FOREST LAKE ELEMENTARY SCHOOL"</f>
        <v>FOREST LAKE ELEMENTARY SCHOOL</v>
      </c>
      <c r="G3358" s="47"/>
      <c r="H3358" s="47"/>
      <c r="I3358" s="40">
        <v>491</v>
      </c>
      <c r="J3358" s="40">
        <v>654</v>
      </c>
      <c r="K3358" s="76"/>
      <c r="L3358" s="76"/>
      <c r="M3358" s="134">
        <f>IF(L3358="",I3358,(MIN(J3358,(L3358*1.6*J3358))))</f>
        <v>491</v>
      </c>
      <c r="N3358" s="127">
        <f>IF(M3358=0,0,(M3358/J3358))</f>
        <v>0.75076452599388377</v>
      </c>
    </row>
    <row r="3359" spans="2:14">
      <c r="B3359" s="73">
        <v>127575</v>
      </c>
      <c r="C3359" s="75" t="s">
        <v>1470</v>
      </c>
      <c r="D3359" s="133">
        <f>SUMIF(B$3:B$3844,B3359,M$3:M$3844)/(SUMIF(B$3:B$3844,B3359,J$3:J$3844))</f>
        <v>0.65734639061744049</v>
      </c>
      <c r="E3359" s="75">
        <v>227665</v>
      </c>
      <c r="F3359" s="46" t="str">
        <f>"FREEDOM ELEMENTARY SCHOOL"</f>
        <v>FREEDOM ELEMENTARY SCHOOL</v>
      </c>
      <c r="G3359" s="23"/>
      <c r="H3359" s="23"/>
      <c r="I3359" s="41">
        <v>380</v>
      </c>
      <c r="J3359" s="41">
        <v>712</v>
      </c>
      <c r="K3359" s="76"/>
      <c r="L3359" s="76"/>
      <c r="M3359" s="134">
        <f>IF(L3359="",I3359,(MIN(J3359,(L3359*1.6*J3359))))</f>
        <v>380</v>
      </c>
      <c r="N3359" s="127">
        <f>IF(M3359=0,0,(M3359/J3359))</f>
        <v>0.5337078651685393</v>
      </c>
    </row>
    <row r="3360" spans="2:14">
      <c r="B3360" s="72">
        <v>127575</v>
      </c>
      <c r="C3360" s="74" t="s">
        <v>1470</v>
      </c>
      <c r="D3360" s="133">
        <f>SUMIF(B$3:B$3844,B3360,M$3:M$3844)/(SUMIF(B$3:B$3844,B3360,J$3:J$3844))</f>
        <v>0.65734639061744049</v>
      </c>
      <c r="E3360" s="74">
        <v>35865</v>
      </c>
      <c r="F3360" s="48" t="str">
        <f>"FRIENDSHIP ELEMENTARY SCHOOL"</f>
        <v>FRIENDSHIP ELEMENTARY SCHOOL</v>
      </c>
      <c r="G3360" s="47"/>
      <c r="H3360" s="47"/>
      <c r="I3360" s="40">
        <v>364</v>
      </c>
      <c r="J3360" s="40">
        <v>421</v>
      </c>
      <c r="K3360" s="76"/>
      <c r="L3360" s="76"/>
      <c r="M3360" s="134">
        <f>IF(L3360="",I3360,(MIN(J3360,(L3360*1.6*J3360))))</f>
        <v>364</v>
      </c>
      <c r="N3360" s="127">
        <f>IF(M3360=0,0,(M3360/J3360))</f>
        <v>0.86460807600950118</v>
      </c>
    </row>
    <row r="3361" spans="2:14">
      <c r="B3361" s="73">
        <v>127575</v>
      </c>
      <c r="C3361" s="75" t="s">
        <v>1470</v>
      </c>
      <c r="D3361" s="133">
        <f>SUMIF(B$3:B$3844,B3361,M$3:M$3844)/(SUMIF(B$3:B$3844,B3361,J$3:J$3844))</f>
        <v>0.65734639061744049</v>
      </c>
      <c r="E3361" s="75">
        <v>35844</v>
      </c>
      <c r="F3361" s="46" t="str">
        <f>"GALAXY MIDDLE SCHOOL"</f>
        <v>GALAXY MIDDLE SCHOOL</v>
      </c>
      <c r="G3361" s="23"/>
      <c r="H3361" s="23"/>
      <c r="I3361" s="41">
        <v>741</v>
      </c>
      <c r="J3361" s="41">
        <v>1007</v>
      </c>
      <c r="K3361" s="76"/>
      <c r="L3361" s="76"/>
      <c r="M3361" s="134">
        <f>IF(L3361="",I3361,(MIN(J3361,(L3361*1.6*J3361))))</f>
        <v>741</v>
      </c>
      <c r="N3361" s="127">
        <f>IF(M3361=0,0,(M3361/J3361))</f>
        <v>0.73584905660377353</v>
      </c>
    </row>
    <row r="3362" spans="2:14">
      <c r="B3362" s="72">
        <v>127575</v>
      </c>
      <c r="C3362" s="74" t="s">
        <v>1470</v>
      </c>
      <c r="D3362" s="133">
        <f>SUMIF(B$3:B$3844,B3362,M$3:M$3844)/(SUMIF(B$3:B$3844,B3362,J$3:J$3844))</f>
        <v>0.65734639061744049</v>
      </c>
      <c r="E3362" s="74">
        <v>35837</v>
      </c>
      <c r="F3362" s="48" t="s">
        <v>1477</v>
      </c>
      <c r="G3362" s="47"/>
      <c r="H3362" s="47"/>
      <c r="I3362" s="40">
        <v>382</v>
      </c>
      <c r="J3362" s="40">
        <v>589</v>
      </c>
      <c r="K3362" s="76"/>
      <c r="L3362" s="76"/>
      <c r="M3362" s="134">
        <f>IF(L3362="",I3362,(MIN(J3362,(L3362*1.6*J3362))))</f>
        <v>382</v>
      </c>
      <c r="N3362" s="127">
        <f>IF(M3362=0,0,(M3362/J3362))</f>
        <v>0.64855687606112056</v>
      </c>
    </row>
    <row r="3363" spans="2:14">
      <c r="B3363" s="73">
        <v>127575</v>
      </c>
      <c r="C3363" s="75" t="s">
        <v>1470</v>
      </c>
      <c r="D3363" s="133">
        <f>SUMIF(B$3:B$3844,B3363,M$3:M$3844)/(SUMIF(B$3:B$3844,B3363,J$3:J$3844))</f>
        <v>0.65734639061744049</v>
      </c>
      <c r="E3363" s="75">
        <v>16066392</v>
      </c>
      <c r="F3363" s="46" t="str">
        <f>"HERBERT STREET CENTER WEST"</f>
        <v>HERBERT STREET CENTER WEST</v>
      </c>
      <c r="G3363" s="23"/>
      <c r="H3363" s="23"/>
      <c r="I3363" s="41"/>
      <c r="J3363" s="41" t="str">
        <f>"0"</f>
        <v>0</v>
      </c>
      <c r="K3363" s="76"/>
      <c r="L3363" s="76"/>
      <c r="M3363" s="134">
        <f>IF(L3363="",I3363,(MIN(J3363,(L3363*1.6*J3363))))</f>
        <v>0</v>
      </c>
      <c r="N3363" s="127">
        <f>IF(M3363=0,0,(M3363/J3363))</f>
        <v>0</v>
      </c>
    </row>
    <row r="3364" spans="2:14">
      <c r="B3364" s="72">
        <v>127575</v>
      </c>
      <c r="C3364" s="74" t="s">
        <v>1470</v>
      </c>
      <c r="D3364" s="133">
        <f>SUMIF(B$3:B$3844,B3364,M$3:M$3844)/(SUMIF(B$3:B$3844,B3364,J$3:J$3844))</f>
        <v>0.65734639061744049</v>
      </c>
      <c r="E3364" s="74">
        <v>147940</v>
      </c>
      <c r="F3364" s="48" t="str">
        <f>"HERITAGE MIDDLE SCHOOL"</f>
        <v>HERITAGE MIDDLE SCHOOL</v>
      </c>
      <c r="G3364" s="47"/>
      <c r="H3364" s="47"/>
      <c r="I3364" s="40">
        <v>849</v>
      </c>
      <c r="J3364" s="40">
        <v>1151</v>
      </c>
      <c r="K3364" s="76"/>
      <c r="L3364" s="76"/>
      <c r="M3364" s="134">
        <f>IF(L3364="",I3364,(MIN(J3364,(L3364*1.6*J3364))))</f>
        <v>849</v>
      </c>
      <c r="N3364" s="127">
        <f>IF(M3364=0,0,(M3364/J3364))</f>
        <v>0.73761946133796696</v>
      </c>
    </row>
    <row r="3365" spans="2:14">
      <c r="B3365" s="73">
        <v>127575</v>
      </c>
      <c r="C3365" s="75" t="s">
        <v>1470</v>
      </c>
      <c r="D3365" s="133">
        <f>SUMIF(B$3:B$3844,B3365,M$3:M$3844)/(SUMIF(B$3:B$3844,B3365,J$3:J$3844))</f>
        <v>0.65734639061744049</v>
      </c>
      <c r="E3365" s="75">
        <v>16066394</v>
      </c>
      <c r="F3365" s="46" t="s">
        <v>1478</v>
      </c>
      <c r="G3365" s="23"/>
      <c r="H3365" s="23"/>
      <c r="I3365" s="41">
        <v>27</v>
      </c>
      <c r="J3365" s="41">
        <v>31</v>
      </c>
      <c r="K3365" s="76"/>
      <c r="L3365" s="76"/>
      <c r="M3365" s="134">
        <f>IF(L3365="",I3365,(MIN(J3365,(L3365*1.6*J3365))))</f>
        <v>27</v>
      </c>
      <c r="N3365" s="127">
        <f>IF(M3365=0,0,(M3365/J3365))</f>
        <v>0.87096774193548387</v>
      </c>
    </row>
    <row r="3366" spans="2:14">
      <c r="B3366" s="72">
        <v>127575</v>
      </c>
      <c r="C3366" s="74" t="s">
        <v>1470</v>
      </c>
      <c r="D3366" s="133">
        <f>SUMIF(B$3:B$3844,B3366,M$3:M$3844)/(SUMIF(B$3:B$3844,B3366,J$3:J$3844))</f>
        <v>0.65734639061744049</v>
      </c>
      <c r="E3366" s="74">
        <v>16046140</v>
      </c>
      <c r="F3366" s="48" t="s">
        <v>1479</v>
      </c>
      <c r="G3366" s="47"/>
      <c r="H3366" s="47"/>
      <c r="I3366" s="40">
        <v>893</v>
      </c>
      <c r="J3366" s="40">
        <v>975</v>
      </c>
      <c r="K3366" s="76"/>
      <c r="L3366" s="76"/>
      <c r="M3366" s="134">
        <f>IF(L3366="",I3366,(MIN(J3366,(L3366*1.6*J3366))))</f>
        <v>893</v>
      </c>
      <c r="N3366" s="127">
        <f>IF(M3366=0,0,(M3366/J3366))</f>
        <v>0.91589743589743589</v>
      </c>
    </row>
    <row r="3367" spans="2:14">
      <c r="B3367" s="73">
        <v>127575</v>
      </c>
      <c r="C3367" s="75" t="s">
        <v>1470</v>
      </c>
      <c r="D3367" s="133">
        <f>SUMIF(B$3:B$3844,B3367,M$3:M$3844)/(SUMIF(B$3:B$3844,B3367,J$3:J$3844))</f>
        <v>0.65734639061744049</v>
      </c>
      <c r="E3367" s="75">
        <v>34930</v>
      </c>
      <c r="F3367" s="46" t="str">
        <f>"HORIZON ELEMENTARY SCHOOL"</f>
        <v>HORIZON ELEMENTARY SCHOOL</v>
      </c>
      <c r="G3367" s="23"/>
      <c r="H3367" s="23"/>
      <c r="I3367" s="41">
        <v>470</v>
      </c>
      <c r="J3367" s="41">
        <v>725</v>
      </c>
      <c r="K3367" s="76"/>
      <c r="L3367" s="76"/>
      <c r="M3367" s="134">
        <f>IF(L3367="",I3367,(MIN(J3367,(L3367*1.6*J3367))))</f>
        <v>470</v>
      </c>
      <c r="N3367" s="127">
        <f>IF(M3367=0,0,(M3367/J3367))</f>
        <v>0.64827586206896548</v>
      </c>
    </row>
    <row r="3368" spans="2:14">
      <c r="B3368" s="72">
        <v>127575</v>
      </c>
      <c r="C3368" s="74" t="s">
        <v>1470</v>
      </c>
      <c r="D3368" s="133">
        <f>SUMIF(B$3:B$3844,B3368,M$3:M$3844)/(SUMIF(B$3:B$3844,B3368,J$3:J$3844))</f>
        <v>0.65734639061744049</v>
      </c>
      <c r="E3368" s="74">
        <v>34947</v>
      </c>
      <c r="F3368" s="48" t="str">
        <f>"INDIAN RIVER ELEMENTARY SCHOOL"</f>
        <v>INDIAN RIVER ELEMENTARY SCHOOL</v>
      </c>
      <c r="G3368" s="47"/>
      <c r="H3368" s="47"/>
      <c r="I3368" s="40">
        <v>448</v>
      </c>
      <c r="J3368" s="40">
        <v>616</v>
      </c>
      <c r="K3368" s="76"/>
      <c r="L3368" s="76"/>
      <c r="M3368" s="134">
        <f>IF(L3368="",I3368,(MIN(J3368,(L3368*1.6*J3368))))</f>
        <v>448</v>
      </c>
      <c r="N3368" s="127">
        <f>IF(M3368=0,0,(M3368/J3368))</f>
        <v>0.72727272727272729</v>
      </c>
    </row>
    <row r="3369" spans="2:14">
      <c r="B3369" s="73">
        <v>127575</v>
      </c>
      <c r="C3369" s="75" t="s">
        <v>1470</v>
      </c>
      <c r="D3369" s="133">
        <f>SUMIF(B$3:B$3844,B3369,M$3:M$3844)/(SUMIF(B$3:B$3844,B3369,J$3:J$3844))</f>
        <v>0.65734639061744049</v>
      </c>
      <c r="E3369" s="75">
        <v>34940</v>
      </c>
      <c r="F3369" s="46" t="s">
        <v>1480</v>
      </c>
      <c r="G3369" s="23"/>
      <c r="H3369" s="23"/>
      <c r="I3369" s="41">
        <v>340</v>
      </c>
      <c r="J3369" s="41">
        <v>374</v>
      </c>
      <c r="K3369" s="76"/>
      <c r="L3369" s="76"/>
      <c r="M3369" s="134">
        <f>IF(L3369="",I3369,(MIN(J3369,(L3369*1.6*J3369))))</f>
        <v>340</v>
      </c>
      <c r="N3369" s="127">
        <f>IF(M3369=0,0,(M3369/J3369))</f>
        <v>0.90909090909090906</v>
      </c>
    </row>
    <row r="3370" spans="2:14">
      <c r="B3370" s="72">
        <v>127575</v>
      </c>
      <c r="C3370" s="74" t="s">
        <v>1470</v>
      </c>
      <c r="D3370" s="133">
        <f>SUMIF(B$3:B$3844,B3370,M$3:M$3844)/(SUMIF(B$3:B$3844,B3370,J$3:J$3844))</f>
        <v>0.65734639061744049</v>
      </c>
      <c r="E3370" s="74">
        <v>34905</v>
      </c>
      <c r="F3370" s="48" t="s">
        <v>1481</v>
      </c>
      <c r="G3370" s="47"/>
      <c r="H3370" s="47"/>
      <c r="I3370" s="40">
        <v>1349</v>
      </c>
      <c r="J3370" s="40">
        <v>1978</v>
      </c>
      <c r="K3370" s="76"/>
      <c r="L3370" s="76"/>
      <c r="M3370" s="134">
        <f>IF(L3370="",I3370,(MIN(J3370,(L3370*1.6*J3370))))</f>
        <v>1349</v>
      </c>
      <c r="N3370" s="127">
        <f>IF(M3370=0,0,(M3370/J3370))</f>
        <v>0.68200202224469164</v>
      </c>
    </row>
    <row r="3371" spans="2:14">
      <c r="B3371" s="73">
        <v>127575</v>
      </c>
      <c r="C3371" s="75" t="s">
        <v>1470</v>
      </c>
      <c r="D3371" s="133">
        <f>SUMIF(B$3:B$3844,B3371,M$3:M$3844)/(SUMIF(B$3:B$3844,B3371,J$3:J$3844))</f>
        <v>0.65734639061744049</v>
      </c>
      <c r="E3371" s="75">
        <v>16033729</v>
      </c>
      <c r="F3371" s="46" t="str">
        <f>"MANATEE COVE ELEMENTARY SCHOOL"</f>
        <v>MANATEE COVE ELEMENTARY SCHOOL</v>
      </c>
      <c r="G3371" s="23"/>
      <c r="H3371" s="23"/>
      <c r="I3371" s="41">
        <v>538</v>
      </c>
      <c r="J3371" s="41">
        <v>745</v>
      </c>
      <c r="K3371" s="76"/>
      <c r="L3371" s="76"/>
      <c r="M3371" s="134">
        <f>IF(L3371="",I3371,(MIN(J3371,(L3371*1.6*J3371))))</f>
        <v>538</v>
      </c>
      <c r="N3371" s="127">
        <f>IF(M3371=0,0,(M3371/J3371))</f>
        <v>0.72214765100671141</v>
      </c>
    </row>
    <row r="3372" spans="2:14">
      <c r="B3372" s="72">
        <v>127575</v>
      </c>
      <c r="C3372" s="74" t="s">
        <v>1470</v>
      </c>
      <c r="D3372" s="133">
        <f>SUMIF(B$3:B$3844,B3372,M$3:M$3844)/(SUMIF(B$3:B$3844,B3372,J$3:J$3844))</f>
        <v>0.65734639061744049</v>
      </c>
      <c r="E3372" s="74">
        <v>34964</v>
      </c>
      <c r="F3372" s="48" t="str">
        <f>"NEW SMYRNA BEACH HIGH SCHOOL"</f>
        <v>NEW SMYRNA BEACH HIGH SCHOOL</v>
      </c>
      <c r="G3372" s="47"/>
      <c r="H3372" s="47"/>
      <c r="I3372" s="40">
        <v>1008</v>
      </c>
      <c r="J3372" s="40">
        <v>1974</v>
      </c>
      <c r="K3372" s="76"/>
      <c r="L3372" s="76"/>
      <c r="M3372" s="134">
        <f>IF(L3372="",I3372,(MIN(J3372,(L3372*1.6*J3372))))</f>
        <v>1008</v>
      </c>
      <c r="N3372" s="127">
        <f>IF(M3372=0,0,(M3372/J3372))</f>
        <v>0.51063829787234039</v>
      </c>
    </row>
    <row r="3373" spans="2:14">
      <c r="B3373" s="73">
        <v>127575</v>
      </c>
      <c r="C3373" s="75" t="s">
        <v>1470</v>
      </c>
      <c r="D3373" s="133">
        <f>SUMIF(B$3:B$3844,B3373,M$3:M$3844)/(SUMIF(B$3:B$3844,B3373,J$3:J$3844))</f>
        <v>0.65734639061744049</v>
      </c>
      <c r="E3373" s="75">
        <v>34960</v>
      </c>
      <c r="F3373" s="46" t="str">
        <f>"NEW SMYRNA BEACH MIDDLE SCHOOL"</f>
        <v>NEW SMYRNA BEACH MIDDLE SCHOOL</v>
      </c>
      <c r="G3373" s="23"/>
      <c r="H3373" s="23"/>
      <c r="I3373" s="41">
        <v>710</v>
      </c>
      <c r="J3373" s="41">
        <v>1153</v>
      </c>
      <c r="K3373" s="76"/>
      <c r="L3373" s="76"/>
      <c r="M3373" s="134">
        <f>IF(L3373="",I3373,(MIN(J3373,(L3373*1.6*J3373))))</f>
        <v>710</v>
      </c>
      <c r="N3373" s="127">
        <f>IF(M3373=0,0,(M3373/J3373))</f>
        <v>0.61578490893321769</v>
      </c>
    </row>
    <row r="3374" spans="2:14">
      <c r="B3374" s="72">
        <v>127575</v>
      </c>
      <c r="C3374" s="74" t="s">
        <v>1470</v>
      </c>
      <c r="D3374" s="133">
        <f>SUMIF(B$3:B$3844,B3374,M$3:M$3844)/(SUMIF(B$3:B$3844,B3374,J$3:J$3844))</f>
        <v>0.65734639061744049</v>
      </c>
      <c r="E3374" s="74">
        <v>35904</v>
      </c>
      <c r="F3374" s="48" t="str">
        <f>"ORANGE CITY ELEMENTARY SCHOOL"</f>
        <v>ORANGE CITY ELEMENTARY SCHOOL</v>
      </c>
      <c r="G3374" s="47"/>
      <c r="H3374" s="47"/>
      <c r="I3374" s="40">
        <v>488</v>
      </c>
      <c r="J3374" s="40">
        <v>581</v>
      </c>
      <c r="K3374" s="76"/>
      <c r="L3374" s="76"/>
      <c r="M3374" s="134">
        <f>IF(L3374="",I3374,(MIN(J3374,(L3374*1.6*J3374))))</f>
        <v>488</v>
      </c>
      <c r="N3374" s="127">
        <f>IF(M3374=0,0,(M3374/J3374))</f>
        <v>0.83993115318416522</v>
      </c>
    </row>
    <row r="3375" spans="2:14">
      <c r="B3375" s="73">
        <v>127575</v>
      </c>
      <c r="C3375" s="75" t="s">
        <v>1470</v>
      </c>
      <c r="D3375" s="133">
        <f>SUMIF(B$3:B$3844,B3375,M$3:M$3844)/(SUMIF(B$3:B$3844,B3375,J$3:J$3844))</f>
        <v>0.65734639061744049</v>
      </c>
      <c r="E3375" s="75">
        <v>34971</v>
      </c>
      <c r="F3375" s="46" t="str">
        <f>"ORMOND BEACH ELEMENTARY SCHOOL"</f>
        <v>ORMOND BEACH ELEMENTARY SCHOOL</v>
      </c>
      <c r="G3375" s="23"/>
      <c r="H3375" s="23"/>
      <c r="I3375" s="41">
        <v>228</v>
      </c>
      <c r="J3375" s="41">
        <v>300</v>
      </c>
      <c r="K3375" s="76"/>
      <c r="L3375" s="76"/>
      <c r="M3375" s="134">
        <f>IF(L3375="",I3375,(MIN(J3375,(L3375*1.6*J3375))))</f>
        <v>228</v>
      </c>
      <c r="N3375" s="127">
        <f>IF(M3375=0,0,(M3375/J3375))</f>
        <v>0.76</v>
      </c>
    </row>
    <row r="3376" spans="2:14">
      <c r="B3376" s="72">
        <v>127575</v>
      </c>
      <c r="C3376" s="74" t="s">
        <v>1470</v>
      </c>
      <c r="D3376" s="133">
        <f>SUMIF(B$3:B$3844,B3376,M$3:M$3844)/(SUMIF(B$3:B$3844,B3376,J$3:J$3844))</f>
        <v>0.65734639061744049</v>
      </c>
      <c r="E3376" s="74">
        <v>34968</v>
      </c>
      <c r="F3376" s="48" t="str">
        <f>"ORMOND BEACH MIDDLE SCHOOL"</f>
        <v>ORMOND BEACH MIDDLE SCHOOL</v>
      </c>
      <c r="G3376" s="47"/>
      <c r="H3376" s="47"/>
      <c r="I3376" s="40">
        <v>543</v>
      </c>
      <c r="J3376" s="40">
        <v>1006</v>
      </c>
      <c r="K3376" s="76"/>
      <c r="L3376" s="76"/>
      <c r="M3376" s="134">
        <f>IF(L3376="",I3376,(MIN(J3376,(L3376*1.6*J3376))))</f>
        <v>543</v>
      </c>
      <c r="N3376" s="127">
        <f>IF(M3376=0,0,(M3376/J3376))</f>
        <v>0.53976143141153077</v>
      </c>
    </row>
    <row r="3377" spans="2:14">
      <c r="B3377" s="73">
        <v>127575</v>
      </c>
      <c r="C3377" s="75" t="s">
        <v>1470</v>
      </c>
      <c r="D3377" s="133">
        <f>SUMIF(B$3:B$3844,B3377,M$3:M$3844)/(SUMIF(B$3:B$3844,B3377,J$3:J$3844))</f>
        <v>0.65734639061744049</v>
      </c>
      <c r="E3377" s="75">
        <v>34919</v>
      </c>
      <c r="F3377" s="46" t="str">
        <f>"ORTONA ELEMENTARY SCHOOL"</f>
        <v>ORTONA ELEMENTARY SCHOOL</v>
      </c>
      <c r="G3377" s="23"/>
      <c r="H3377" s="23"/>
      <c r="I3377" s="41">
        <v>189</v>
      </c>
      <c r="J3377" s="41">
        <v>254</v>
      </c>
      <c r="K3377" s="76"/>
      <c r="L3377" s="76"/>
      <c r="M3377" s="134">
        <f>IF(L3377="",I3377,(MIN(J3377,(L3377*1.6*J3377))))</f>
        <v>189</v>
      </c>
      <c r="N3377" s="127">
        <f>IF(M3377=0,0,(M3377/J3377))</f>
        <v>0.74409448818897639</v>
      </c>
    </row>
    <row r="3378" spans="2:14">
      <c r="B3378" s="72">
        <v>127575</v>
      </c>
      <c r="C3378" s="74" t="s">
        <v>1470</v>
      </c>
      <c r="D3378" s="133">
        <f>SUMIF(B$3:B$3844,B3378,M$3:M$3844)/(SUMIF(B$3:B$3844,B3378,J$3:J$3844))</f>
        <v>0.65734639061744049</v>
      </c>
      <c r="E3378" s="74">
        <v>34975</v>
      </c>
      <c r="F3378" s="48" t="str">
        <f>"OSCEOLA ELEMENTARY SCHOOL"</f>
        <v>OSCEOLA ELEMENTARY SCHOOL</v>
      </c>
      <c r="G3378" s="47"/>
      <c r="H3378" s="47"/>
      <c r="I3378" s="40">
        <v>310</v>
      </c>
      <c r="J3378" s="40">
        <v>430</v>
      </c>
      <c r="K3378" s="76"/>
      <c r="L3378" s="76"/>
      <c r="M3378" s="134">
        <f>IF(L3378="",I3378,(MIN(J3378,(L3378*1.6*J3378))))</f>
        <v>310</v>
      </c>
      <c r="N3378" s="127">
        <f>IF(M3378=0,0,(M3378/J3378))</f>
        <v>0.72093023255813948</v>
      </c>
    </row>
    <row r="3379" spans="2:14">
      <c r="B3379" s="73">
        <v>127575</v>
      </c>
      <c r="C3379" s="75" t="s">
        <v>1470</v>
      </c>
      <c r="D3379" s="133">
        <f>SUMIF(B$3:B$3844,B3379,M$3:M$3844)/(SUMIF(B$3:B$3844,B3379,J$3:J$3844))</f>
        <v>0.65734639061744049</v>
      </c>
      <c r="E3379" s="75">
        <v>35906</v>
      </c>
      <c r="F3379" s="46" t="str">
        <f>"OSTEEN ELEMENTARY SCHOOL"</f>
        <v>OSTEEN ELEMENTARY SCHOOL</v>
      </c>
      <c r="G3379" s="23"/>
      <c r="H3379" s="23"/>
      <c r="I3379" s="41">
        <v>388</v>
      </c>
      <c r="J3379" s="41">
        <v>517</v>
      </c>
      <c r="K3379" s="76"/>
      <c r="L3379" s="76"/>
      <c r="M3379" s="134">
        <f>IF(L3379="",I3379,(MIN(J3379,(L3379*1.6*J3379))))</f>
        <v>388</v>
      </c>
      <c r="N3379" s="127">
        <f>IF(M3379=0,0,(M3379/J3379))</f>
        <v>0.75048355899419728</v>
      </c>
    </row>
    <row r="3380" spans="2:14">
      <c r="B3380" s="72">
        <v>127575</v>
      </c>
      <c r="C3380" s="74" t="s">
        <v>1470</v>
      </c>
      <c r="D3380" s="133">
        <f>SUMIF(B$3:B$3844,B3380,M$3:M$3844)/(SUMIF(B$3:B$3844,B3380,J$3:J$3844))</f>
        <v>0.65734639061744049</v>
      </c>
      <c r="E3380" s="74">
        <v>34901</v>
      </c>
      <c r="F3380" s="48" t="str">
        <f>"PALM TERRACE ELEMENTARY SCHOOL"</f>
        <v>PALM TERRACE ELEMENTARY SCHOOL</v>
      </c>
      <c r="G3380" s="47"/>
      <c r="H3380" s="47"/>
      <c r="I3380" s="40">
        <v>663</v>
      </c>
      <c r="J3380" s="40">
        <v>715</v>
      </c>
      <c r="K3380" s="76"/>
      <c r="L3380" s="76"/>
      <c r="M3380" s="134">
        <f>IF(L3380="",I3380,(MIN(J3380,(L3380*1.6*J3380))))</f>
        <v>663</v>
      </c>
      <c r="N3380" s="127">
        <f>IF(M3380=0,0,(M3380/J3380))</f>
        <v>0.92727272727272725</v>
      </c>
    </row>
    <row r="3381" spans="2:14">
      <c r="B3381" s="73">
        <v>127575</v>
      </c>
      <c r="C3381" s="75" t="s">
        <v>1470</v>
      </c>
      <c r="D3381" s="133">
        <f>SUMIF(B$3:B$3844,B3381,M$3:M$3844)/(SUMIF(B$3:B$3844,B3381,J$3:J$3844))</f>
        <v>0.65734639061744049</v>
      </c>
      <c r="E3381" s="75">
        <v>34966</v>
      </c>
      <c r="F3381" s="46" t="str">
        <f>"PATHWAYS ELEMENTARY SCHOOL"</f>
        <v>PATHWAYS ELEMENTARY SCHOOL</v>
      </c>
      <c r="G3381" s="23"/>
      <c r="H3381" s="23"/>
      <c r="I3381" s="41">
        <v>319</v>
      </c>
      <c r="J3381" s="41">
        <v>724</v>
      </c>
      <c r="K3381" s="76"/>
      <c r="L3381" s="76"/>
      <c r="M3381" s="134">
        <f>IF(L3381="",I3381,(MIN(J3381,(L3381*1.6*J3381))))</f>
        <v>319</v>
      </c>
      <c r="N3381" s="127">
        <f>IF(M3381=0,0,(M3381/J3381))</f>
        <v>0.44060773480662985</v>
      </c>
    </row>
    <row r="3382" spans="2:14">
      <c r="B3382" s="72">
        <v>127575</v>
      </c>
      <c r="C3382" s="74" t="s">
        <v>1470</v>
      </c>
      <c r="D3382" s="133">
        <f>SUMIF(B$3:B$3844,B3382,M$3:M$3844)/(SUMIF(B$3:B$3844,B3382,J$3:J$3844))</f>
        <v>0.65734639061744049</v>
      </c>
      <c r="E3382" s="74">
        <v>34987</v>
      </c>
      <c r="F3382" s="48" t="str">
        <f>"PIERSON ELEMENTARY SCHOOL"</f>
        <v>PIERSON ELEMENTARY SCHOOL</v>
      </c>
      <c r="G3382" s="47"/>
      <c r="H3382" s="47"/>
      <c r="I3382" s="40">
        <v>501</v>
      </c>
      <c r="J3382" s="40">
        <v>577</v>
      </c>
      <c r="K3382" s="76"/>
      <c r="L3382" s="76"/>
      <c r="M3382" s="134">
        <f>IF(L3382="",I3382,(MIN(J3382,(L3382*1.6*J3382))))</f>
        <v>501</v>
      </c>
      <c r="N3382" s="127">
        <f>IF(M3382=0,0,(M3382/J3382))</f>
        <v>0.8682842287694974</v>
      </c>
    </row>
    <row r="3383" spans="2:14">
      <c r="B3383" s="73">
        <v>127575</v>
      </c>
      <c r="C3383" s="75" t="s">
        <v>1470</v>
      </c>
      <c r="D3383" s="133">
        <f>SUMIF(B$3:B$3844,B3383,M$3:M$3844)/(SUMIF(B$3:B$3844,B3383,J$3:J$3844))</f>
        <v>0.65734639061744049</v>
      </c>
      <c r="E3383" s="75">
        <v>35866</v>
      </c>
      <c r="F3383" s="46" t="str">
        <f>"PINE RIDGE HIGH SCHOOL"</f>
        <v>PINE RIDGE HIGH SCHOOL</v>
      </c>
      <c r="G3383" s="23"/>
      <c r="H3383" s="23"/>
      <c r="I3383" s="41">
        <v>1144</v>
      </c>
      <c r="J3383" s="41">
        <v>1733</v>
      </c>
      <c r="K3383" s="76"/>
      <c r="L3383" s="76"/>
      <c r="M3383" s="134">
        <f>IF(L3383="",I3383,(MIN(J3383,(L3383*1.6*J3383))))</f>
        <v>1144</v>
      </c>
      <c r="N3383" s="127">
        <f>IF(M3383=0,0,(M3383/J3383))</f>
        <v>0.66012694748990186</v>
      </c>
    </row>
    <row r="3384" spans="2:14">
      <c r="B3384" s="72">
        <v>127575</v>
      </c>
      <c r="C3384" s="74" t="s">
        <v>1470</v>
      </c>
      <c r="D3384" s="133">
        <f>SUMIF(B$3:B$3844,B3384,M$3:M$3844)/(SUMIF(B$3:B$3844,B3384,J$3:J$3844))</f>
        <v>0.65734639061744049</v>
      </c>
      <c r="E3384" s="74">
        <v>34967</v>
      </c>
      <c r="F3384" s="48" t="str">
        <f>"PINE TRAIL ELEMENTARY SCHOOL"</f>
        <v>PINE TRAIL ELEMENTARY SCHOOL</v>
      </c>
      <c r="G3384" s="47"/>
      <c r="H3384" s="47"/>
      <c r="I3384" s="40">
        <v>364</v>
      </c>
      <c r="J3384" s="40">
        <v>703</v>
      </c>
      <c r="K3384" s="76"/>
      <c r="L3384" s="76"/>
      <c r="M3384" s="134">
        <f>IF(L3384="",I3384,(MIN(J3384,(L3384*1.6*J3384))))</f>
        <v>364</v>
      </c>
      <c r="N3384" s="127">
        <f>IF(M3384=0,0,(M3384/J3384))</f>
        <v>0.51778093883357046</v>
      </c>
    </row>
    <row r="3385" spans="2:14">
      <c r="B3385" s="73">
        <v>127575</v>
      </c>
      <c r="C3385" s="75" t="s">
        <v>1470</v>
      </c>
      <c r="D3385" s="133">
        <f>SUMIF(B$3:B$3844,B3385,M$3:M$3844)/(SUMIF(B$3:B$3844,B3385,J$3:J$3844))</f>
        <v>0.65734639061744049</v>
      </c>
      <c r="E3385" s="75">
        <v>34936</v>
      </c>
      <c r="F3385" s="46" t="str">
        <f>"PORT ORANGE ELEMENTARY SCHOOL"</f>
        <v>PORT ORANGE ELEMENTARY SCHOOL</v>
      </c>
      <c r="G3385" s="23"/>
      <c r="H3385" s="23"/>
      <c r="I3385" s="41">
        <v>285</v>
      </c>
      <c r="J3385" s="41">
        <v>417</v>
      </c>
      <c r="K3385" s="76"/>
      <c r="L3385" s="76"/>
      <c r="M3385" s="134">
        <f>IF(L3385="",I3385,(MIN(J3385,(L3385*1.6*J3385))))</f>
        <v>285</v>
      </c>
      <c r="N3385" s="127">
        <f>IF(M3385=0,0,(M3385/J3385))</f>
        <v>0.68345323741007191</v>
      </c>
    </row>
    <row r="3386" spans="2:14">
      <c r="B3386" s="72">
        <v>127575</v>
      </c>
      <c r="C3386" s="74" t="s">
        <v>1470</v>
      </c>
      <c r="D3386" s="133">
        <f>SUMIF(B$3:B$3844,B3386,M$3:M$3844)/(SUMIF(B$3:B$3844,B3386,J$3:J$3844))</f>
        <v>0.65734639061744049</v>
      </c>
      <c r="E3386" s="74">
        <v>16041806</v>
      </c>
      <c r="F3386" s="48" t="str">
        <f>"PRIDE ELEMENTARY SCHOOL"</f>
        <v>PRIDE ELEMENTARY SCHOOL</v>
      </c>
      <c r="G3386" s="47"/>
      <c r="H3386" s="47"/>
      <c r="I3386" s="40">
        <v>459</v>
      </c>
      <c r="J3386" s="40">
        <v>574</v>
      </c>
      <c r="K3386" s="76"/>
      <c r="L3386" s="76"/>
      <c r="M3386" s="134">
        <f>IF(L3386="",I3386,(MIN(J3386,(L3386*1.6*J3386))))</f>
        <v>459</v>
      </c>
      <c r="N3386" s="127">
        <f>IF(M3386=0,0,(M3386/J3386))</f>
        <v>0.79965156794425085</v>
      </c>
    </row>
    <row r="3387" spans="2:14">
      <c r="B3387" s="73">
        <v>127575</v>
      </c>
      <c r="C3387" s="75" t="s">
        <v>1470</v>
      </c>
      <c r="D3387" s="133">
        <f>SUMIF(B$3:B$3844,B3387,M$3:M$3844)/(SUMIF(B$3:B$3844,B3387,J$3:J$3844))</f>
        <v>0.65734639061744049</v>
      </c>
      <c r="E3387" s="75">
        <v>34922</v>
      </c>
      <c r="F3387" s="46" t="s">
        <v>1482</v>
      </c>
      <c r="G3387" s="23"/>
      <c r="H3387" s="23"/>
      <c r="I3387" s="41">
        <v>310</v>
      </c>
      <c r="J3387" s="41">
        <v>443</v>
      </c>
      <c r="K3387" s="76"/>
      <c r="L3387" s="76"/>
      <c r="M3387" s="134">
        <f>IF(L3387="",I3387,(MIN(J3387,(L3387*1.6*J3387))))</f>
        <v>310</v>
      </c>
      <c r="N3387" s="127">
        <f>IF(M3387=0,0,(M3387/J3387))</f>
        <v>0.69977426636568851</v>
      </c>
    </row>
    <row r="3388" spans="2:14">
      <c r="B3388" s="72">
        <v>127575</v>
      </c>
      <c r="C3388" s="74" t="s">
        <v>1470</v>
      </c>
      <c r="D3388" s="133">
        <f>SUMIF(B$3:B$3844,B3388,M$3:M$3844)/(SUMIF(B$3:B$3844,B3388,J$3:J$3844))</f>
        <v>0.65734639061744049</v>
      </c>
      <c r="E3388" s="74">
        <v>34961</v>
      </c>
      <c r="F3388" s="48" t="s">
        <v>1483</v>
      </c>
      <c r="G3388" s="47"/>
      <c r="H3388" s="47"/>
      <c r="I3388" s="40">
        <v>346</v>
      </c>
      <c r="J3388" s="40">
        <v>456</v>
      </c>
      <c r="K3388" s="76"/>
      <c r="L3388" s="76"/>
      <c r="M3388" s="134">
        <f>IF(L3388="",I3388,(MIN(J3388,(L3388*1.6*J3388))))</f>
        <v>346</v>
      </c>
      <c r="N3388" s="127">
        <f>IF(M3388=0,0,(M3388/J3388))</f>
        <v>0.75877192982456143</v>
      </c>
    </row>
    <row r="3389" spans="2:14">
      <c r="B3389" s="73">
        <v>127575</v>
      </c>
      <c r="C3389" s="75" t="s">
        <v>1470</v>
      </c>
      <c r="D3389" s="133">
        <f>SUMIF(B$3:B$3844,B3389,M$3:M$3844)/(SUMIF(B$3:B$3844,B3389,J$3:J$3844))</f>
        <v>0.65734639061744049</v>
      </c>
      <c r="E3389" s="75">
        <v>16047298</v>
      </c>
      <c r="F3389" s="46" t="str">
        <f>"RIVER SPRINGS MIDDLE SCHOOL"</f>
        <v>RIVER SPRINGS MIDDLE SCHOOL</v>
      </c>
      <c r="G3389" s="23"/>
      <c r="H3389" s="23"/>
      <c r="I3389" s="41">
        <v>814</v>
      </c>
      <c r="J3389" s="41">
        <v>1324</v>
      </c>
      <c r="K3389" s="76"/>
      <c r="L3389" s="76"/>
      <c r="M3389" s="134">
        <f>IF(L3389="",I3389,(MIN(J3389,(L3389*1.6*J3389))))</f>
        <v>814</v>
      </c>
      <c r="N3389" s="127">
        <f>IF(M3389=0,0,(M3389/J3389))</f>
        <v>0.61480362537764355</v>
      </c>
    </row>
    <row r="3390" spans="2:14">
      <c r="B3390" s="72">
        <v>127575</v>
      </c>
      <c r="C3390" s="74" t="s">
        <v>1470</v>
      </c>
      <c r="D3390" s="133">
        <f>SUMIF(B$3:B$3844,B3390,M$3:M$3844)/(SUMIF(B$3:B$3844,B3390,J$3:J$3844))</f>
        <v>0.65734639061744049</v>
      </c>
      <c r="E3390" s="74">
        <v>34920</v>
      </c>
      <c r="F3390" s="48" t="s">
        <v>1484</v>
      </c>
      <c r="G3390" s="47"/>
      <c r="H3390" s="47"/>
      <c r="I3390" s="40">
        <v>16</v>
      </c>
      <c r="J3390" s="40">
        <v>21</v>
      </c>
      <c r="K3390" s="76"/>
      <c r="L3390" s="76"/>
      <c r="M3390" s="134">
        <f>IF(L3390="",I3390,(MIN(J3390,(L3390*1.6*J3390))))</f>
        <v>16</v>
      </c>
      <c r="N3390" s="127">
        <f>IF(M3390=0,0,(M3390/J3390))</f>
        <v>0.76190476190476186</v>
      </c>
    </row>
    <row r="3391" spans="2:14">
      <c r="B3391" s="73">
        <v>127575</v>
      </c>
      <c r="C3391" s="75" t="s">
        <v>1470</v>
      </c>
      <c r="D3391" s="133">
        <f>SUMIF(B$3:B$3844,B3391,M$3:M$3844)/(SUMIF(B$3:B$3844,B3391,J$3:J$3844))</f>
        <v>0.65734639061744049</v>
      </c>
      <c r="E3391" s="75">
        <v>127575</v>
      </c>
      <c r="F3391" s="46" t="s">
        <v>1485</v>
      </c>
      <c r="G3391" s="23"/>
      <c r="H3391" s="23"/>
      <c r="I3391" s="41"/>
      <c r="J3391" s="41" t="str">
        <f>"0"</f>
        <v>0</v>
      </c>
      <c r="K3391" s="76"/>
      <c r="L3391" s="76"/>
      <c r="M3391" s="134">
        <f>IF(L3391="",I3391,(MIN(J3391,(L3391*1.6*J3391))))</f>
        <v>0</v>
      </c>
      <c r="N3391" s="127">
        <f>IF(M3391=0,0,(M3391/J3391))</f>
        <v>0</v>
      </c>
    </row>
    <row r="3392" spans="2:14">
      <c r="B3392" s="72">
        <v>127575</v>
      </c>
      <c r="C3392" s="74" t="s">
        <v>1470</v>
      </c>
      <c r="D3392" s="133">
        <f>SUMIF(B$3:B$3844,B3392,M$3:M$3844)/(SUMIF(B$3:B$3844,B3392,J$3:J$3844))</f>
        <v>0.65734639061744049</v>
      </c>
      <c r="E3392" s="74">
        <v>34917</v>
      </c>
      <c r="F3392" s="48" t="str">
        <f>"SEABREEZE HIGH SCHOOL"</f>
        <v>SEABREEZE HIGH SCHOOL</v>
      </c>
      <c r="G3392" s="47"/>
      <c r="H3392" s="47"/>
      <c r="I3392" s="40">
        <v>699</v>
      </c>
      <c r="J3392" s="40">
        <v>1648</v>
      </c>
      <c r="K3392" s="76"/>
      <c r="L3392" s="76"/>
      <c r="M3392" s="134">
        <f>IF(L3392="",I3392,(MIN(J3392,(L3392*1.6*J3392))))</f>
        <v>699</v>
      </c>
      <c r="N3392" s="127">
        <f>IF(M3392=0,0,(M3392/J3392))</f>
        <v>0.42415048543689321</v>
      </c>
    </row>
    <row r="3393" spans="2:14">
      <c r="B3393" s="73">
        <v>127575</v>
      </c>
      <c r="C3393" s="75" t="s">
        <v>1470</v>
      </c>
      <c r="D3393" s="133">
        <f>SUMIF(B$3:B$3844,B3393,M$3:M$3844)/(SUMIF(B$3:B$3844,B3393,J$3:J$3844))</f>
        <v>0.65734639061744049</v>
      </c>
      <c r="E3393" s="75">
        <v>34927</v>
      </c>
      <c r="F3393" s="46" t="str">
        <f>"SILVER SANDS MIDDLE SCHOOL"</f>
        <v>SILVER SANDS MIDDLE SCHOOL</v>
      </c>
      <c r="G3393" s="23"/>
      <c r="H3393" s="23"/>
      <c r="I3393" s="41">
        <v>691</v>
      </c>
      <c r="J3393" s="41">
        <v>1170</v>
      </c>
      <c r="K3393" s="76"/>
      <c r="L3393" s="76"/>
      <c r="M3393" s="134">
        <f>IF(L3393="",I3393,(MIN(J3393,(L3393*1.6*J3393))))</f>
        <v>691</v>
      </c>
      <c r="N3393" s="127">
        <f>IF(M3393=0,0,(M3393/J3393))</f>
        <v>0.59059829059829061</v>
      </c>
    </row>
    <row r="3394" spans="2:14">
      <c r="B3394" s="72">
        <v>127575</v>
      </c>
      <c r="C3394" s="74" t="s">
        <v>1470</v>
      </c>
      <c r="D3394" s="133">
        <f>SUMIF(B$3:B$3844,B3394,M$3:M$3844)/(SUMIF(B$3:B$3844,B3394,J$3:J$3844))</f>
        <v>0.65734639061744049</v>
      </c>
      <c r="E3394" s="74">
        <v>34925</v>
      </c>
      <c r="F3394" s="48" t="s">
        <v>1486</v>
      </c>
      <c r="G3394" s="47"/>
      <c r="H3394" s="47"/>
      <c r="I3394" s="40">
        <v>655</v>
      </c>
      <c r="J3394" s="40">
        <v>819</v>
      </c>
      <c r="K3394" s="76"/>
      <c r="L3394" s="76"/>
      <c r="M3394" s="134">
        <f>IF(L3394="",I3394,(MIN(J3394,(L3394*1.6*J3394))))</f>
        <v>655</v>
      </c>
      <c r="N3394" s="127">
        <f>IF(M3394=0,0,(M3394/J3394))</f>
        <v>0.7997557997557998</v>
      </c>
    </row>
    <row r="3395" spans="2:14">
      <c r="B3395" s="73">
        <v>127575</v>
      </c>
      <c r="C3395" s="75" t="s">
        <v>1470</v>
      </c>
      <c r="D3395" s="133">
        <f>SUMIF(B$3:B$3844,B3395,M$3:M$3844)/(SUMIF(B$3:B$3844,B3395,J$3:J$3844))</f>
        <v>0.65734639061744049</v>
      </c>
      <c r="E3395" s="75">
        <v>35836</v>
      </c>
      <c r="F3395" s="46" t="str">
        <f>"SOUTHWESTERN MIDDLE SCHOOL"</f>
        <v>SOUTHWESTERN MIDDLE SCHOOL</v>
      </c>
      <c r="G3395" s="23"/>
      <c r="H3395" s="23"/>
      <c r="I3395" s="41">
        <v>530</v>
      </c>
      <c r="J3395" s="41">
        <v>733</v>
      </c>
      <c r="K3395" s="76"/>
      <c r="L3395" s="76"/>
      <c r="M3395" s="134">
        <f>IF(L3395="",I3395,(MIN(J3395,(L3395*1.6*J3395))))</f>
        <v>530</v>
      </c>
      <c r="N3395" s="127">
        <f>IF(M3395=0,0,(M3395/J3395))</f>
        <v>0.72305593451568895</v>
      </c>
    </row>
    <row r="3396" spans="2:14">
      <c r="B3396" s="72">
        <v>127575</v>
      </c>
      <c r="C3396" s="74" t="s">
        <v>1470</v>
      </c>
      <c r="D3396" s="133">
        <f>SUMIF(B$3:B$3844,B3396,M$3:M$3844)/(SUMIF(B$3:B$3844,B3396,J$3:J$3844))</f>
        <v>0.65734639061744049</v>
      </c>
      <c r="E3396" s="74">
        <v>14878793</v>
      </c>
      <c r="F3396" s="48" t="str">
        <f>"SPIRIT ELEMENTARY SCHOOL"</f>
        <v>SPIRIT ELEMENTARY SCHOOL</v>
      </c>
      <c r="G3396" s="47"/>
      <c r="H3396" s="47"/>
      <c r="I3396" s="40">
        <v>592</v>
      </c>
      <c r="J3396" s="40">
        <v>753</v>
      </c>
      <c r="K3396" s="76"/>
      <c r="L3396" s="76"/>
      <c r="M3396" s="134">
        <f>IF(L3396="",I3396,(MIN(J3396,(L3396*1.6*J3396))))</f>
        <v>592</v>
      </c>
      <c r="N3396" s="127">
        <f>IF(M3396=0,0,(M3396/J3396))</f>
        <v>0.78618857901726424</v>
      </c>
    </row>
    <row r="3397" spans="2:14">
      <c r="B3397" s="73">
        <v>127575</v>
      </c>
      <c r="C3397" s="75" t="s">
        <v>1470</v>
      </c>
      <c r="D3397" s="133">
        <f>SUMIF(B$3:B$3844,B3397,M$3:M$3844)/(SUMIF(B$3:B$3844,B3397,J$3:J$3844))</f>
        <v>0.65734639061744049</v>
      </c>
      <c r="E3397" s="75">
        <v>34937</v>
      </c>
      <c r="F3397" s="46" t="str">
        <f>"SPRUCE CREEK ELEMENTARY SCHOOL"</f>
        <v>SPRUCE CREEK ELEMENTARY SCHOOL</v>
      </c>
      <c r="G3397" s="23"/>
      <c r="H3397" s="23"/>
      <c r="I3397" s="41">
        <v>468</v>
      </c>
      <c r="J3397" s="41">
        <v>760</v>
      </c>
      <c r="K3397" s="76"/>
      <c r="L3397" s="76"/>
      <c r="M3397" s="134">
        <f>IF(L3397="",I3397,(MIN(J3397,(L3397*1.6*J3397))))</f>
        <v>468</v>
      </c>
      <c r="N3397" s="127">
        <f>IF(M3397=0,0,(M3397/J3397))</f>
        <v>0.61578947368421055</v>
      </c>
    </row>
    <row r="3398" spans="2:14">
      <c r="B3398" s="72">
        <v>127575</v>
      </c>
      <c r="C3398" s="74" t="s">
        <v>1470</v>
      </c>
      <c r="D3398" s="133">
        <f>SUMIF(B$3:B$3844,B3398,M$3:M$3844)/(SUMIF(B$3:B$3844,B3398,J$3:J$3844))</f>
        <v>0.65734639061744049</v>
      </c>
      <c r="E3398" s="74">
        <v>34938</v>
      </c>
      <c r="F3398" s="48" t="str">
        <f>"SPRUCE CREEK HIGH SCHOOL"</f>
        <v>SPRUCE CREEK HIGH SCHOOL</v>
      </c>
      <c r="G3398" s="47"/>
      <c r="H3398" s="47"/>
      <c r="I3398" s="40">
        <v>987</v>
      </c>
      <c r="J3398" s="40">
        <v>2691</v>
      </c>
      <c r="K3398" s="76"/>
      <c r="L3398" s="76"/>
      <c r="M3398" s="134">
        <f>IF(L3398="",I3398,(MIN(J3398,(L3398*1.6*J3398))))</f>
        <v>987</v>
      </c>
      <c r="N3398" s="127">
        <f>IF(M3398=0,0,(M3398/J3398))</f>
        <v>0.36677814938684505</v>
      </c>
    </row>
    <row r="3399" spans="2:14">
      <c r="B3399" s="73">
        <v>127575</v>
      </c>
      <c r="C3399" s="75" t="s">
        <v>1470</v>
      </c>
      <c r="D3399" s="133">
        <f>SUMIF(B$3:B$3844,B3399,M$3:M$3844)/(SUMIF(B$3:B$3844,B3399,J$3:J$3844))</f>
        <v>0.65734639061744049</v>
      </c>
      <c r="E3399" s="75">
        <v>34926</v>
      </c>
      <c r="F3399" s="46" t="str">
        <f>"SUGAR MILL ELEMENTARY SCHOOL"</f>
        <v>SUGAR MILL ELEMENTARY SCHOOL</v>
      </c>
      <c r="G3399" s="23"/>
      <c r="H3399" s="23"/>
      <c r="I3399" s="41">
        <v>480</v>
      </c>
      <c r="J3399" s="41">
        <v>661</v>
      </c>
      <c r="K3399" s="76"/>
      <c r="L3399" s="76"/>
      <c r="M3399" s="134">
        <f>IF(L3399="",I3399,(MIN(J3399,(L3399*1.6*J3399))))</f>
        <v>480</v>
      </c>
      <c r="N3399" s="127">
        <f>IF(M3399=0,0,(M3399/J3399))</f>
        <v>0.72617246596066565</v>
      </c>
    </row>
    <row r="3400" spans="2:14">
      <c r="B3400" s="72">
        <v>127575</v>
      </c>
      <c r="C3400" s="74" t="s">
        <v>1470</v>
      </c>
      <c r="D3400" s="133">
        <f>SUMIF(B$3:B$3844,B3400,M$3:M$3844)/(SUMIF(B$3:B$3844,B3400,J$3:J$3844))</f>
        <v>0.65734639061744049</v>
      </c>
      <c r="E3400" s="74">
        <v>35867</v>
      </c>
      <c r="F3400" s="48" t="str">
        <f>"SUNRISE ELEMENTARY SCHOOL"</f>
        <v>SUNRISE ELEMENTARY SCHOOL</v>
      </c>
      <c r="G3400" s="47"/>
      <c r="H3400" s="47"/>
      <c r="I3400" s="40">
        <v>438</v>
      </c>
      <c r="J3400" s="40">
        <v>546</v>
      </c>
      <c r="K3400" s="76"/>
      <c r="L3400" s="76"/>
      <c r="M3400" s="134">
        <f>IF(L3400="",I3400,(MIN(J3400,(L3400*1.6*J3400))))</f>
        <v>438</v>
      </c>
      <c r="N3400" s="127">
        <f>IF(M3400=0,0,(M3400/J3400))</f>
        <v>0.80219780219780223</v>
      </c>
    </row>
    <row r="3401" spans="2:14">
      <c r="B3401" s="73">
        <v>127575</v>
      </c>
      <c r="C3401" s="75" t="s">
        <v>1470</v>
      </c>
      <c r="D3401" s="133">
        <f>SUMIF(B$3:B$3844,B3401,M$3:M$3844)/(SUMIF(B$3:B$3844,B3401,J$3:J$3844))</f>
        <v>0.65734639061744049</v>
      </c>
      <c r="E3401" s="75">
        <v>34939</v>
      </c>
      <c r="F3401" s="46" t="str">
        <f>"SWEETWATER ELEMENTARY SCHOOL"</f>
        <v>SWEETWATER ELEMENTARY SCHOOL</v>
      </c>
      <c r="G3401" s="23"/>
      <c r="H3401" s="23"/>
      <c r="I3401" s="41">
        <v>267</v>
      </c>
      <c r="J3401" s="41">
        <v>641</v>
      </c>
      <c r="K3401" s="76"/>
      <c r="L3401" s="76"/>
      <c r="M3401" s="134">
        <f>IF(L3401="",I3401,(MIN(J3401,(L3401*1.6*J3401))))</f>
        <v>267</v>
      </c>
      <c r="N3401" s="127">
        <f>IF(M3401=0,0,(M3401/J3401))</f>
        <v>0.41653666146645868</v>
      </c>
    </row>
    <row r="3402" spans="2:14">
      <c r="B3402" s="72">
        <v>127575</v>
      </c>
      <c r="C3402" s="74" t="s">
        <v>1470</v>
      </c>
      <c r="D3402" s="133">
        <f>SUMIF(B$3:B$3844,B3402,M$3:M$3844)/(SUMIF(B$3:B$3844,B3402,J$3:J$3844))</f>
        <v>0.65734639061744049</v>
      </c>
      <c r="E3402" s="74">
        <v>34988</v>
      </c>
      <c r="F3402" s="48" t="s">
        <v>1487</v>
      </c>
      <c r="G3402" s="47"/>
      <c r="H3402" s="47"/>
      <c r="I3402" s="40">
        <v>889</v>
      </c>
      <c r="J3402" s="40">
        <v>1123</v>
      </c>
      <c r="K3402" s="76"/>
      <c r="L3402" s="76"/>
      <c r="M3402" s="134">
        <f>IF(L3402="",I3402,(MIN(J3402,(L3402*1.6*J3402))))</f>
        <v>889</v>
      </c>
      <c r="N3402" s="127">
        <f>IF(M3402=0,0,(M3402/J3402))</f>
        <v>0.79162956366874448</v>
      </c>
    </row>
    <row r="3403" spans="2:14">
      <c r="B3403" s="73">
        <v>127575</v>
      </c>
      <c r="C3403" s="75" t="s">
        <v>1470</v>
      </c>
      <c r="D3403" s="133">
        <f>SUMIF(B$3:B$3844,B3403,M$3:M$3844)/(SUMIF(B$3:B$3844,B3403,J$3:J$3844))</f>
        <v>0.65734639061744049</v>
      </c>
      <c r="E3403" s="75">
        <v>35843</v>
      </c>
      <c r="F3403" s="46" t="str">
        <f>"TIMBERCREST ELEMENTARY SCHOOL"</f>
        <v>TIMBERCREST ELEMENTARY SCHOOL</v>
      </c>
      <c r="G3403" s="23"/>
      <c r="H3403" s="23"/>
      <c r="I3403" s="41">
        <v>526</v>
      </c>
      <c r="J3403" s="41">
        <v>752</v>
      </c>
      <c r="K3403" s="76"/>
      <c r="L3403" s="76"/>
      <c r="M3403" s="134">
        <f>IF(L3403="",I3403,(MIN(J3403,(L3403*1.6*J3403))))</f>
        <v>526</v>
      </c>
      <c r="N3403" s="127">
        <f>IF(M3403=0,0,(M3403/J3403))</f>
        <v>0.69946808510638303</v>
      </c>
    </row>
    <row r="3404" spans="2:14">
      <c r="B3404" s="72">
        <v>127575</v>
      </c>
      <c r="C3404" s="74" t="s">
        <v>1470</v>
      </c>
      <c r="D3404" s="133">
        <f>SUMIF(B$3:B$3844,B3404,M$3:M$3844)/(SUMIF(B$3:B$3844,B3404,J$3:J$3844))</f>
        <v>0.65734639061744049</v>
      </c>
      <c r="E3404" s="74">
        <v>34970</v>
      </c>
      <c r="F3404" s="48" t="str">
        <f>"TOMOKA ELEMENTARY SCHOOL"</f>
        <v>TOMOKA ELEMENTARY SCHOOL</v>
      </c>
      <c r="G3404" s="47"/>
      <c r="H3404" s="47"/>
      <c r="I3404" s="40">
        <v>388</v>
      </c>
      <c r="J3404" s="40">
        <v>735</v>
      </c>
      <c r="K3404" s="76"/>
      <c r="L3404" s="76"/>
      <c r="M3404" s="134">
        <f>IF(L3404="",I3404,(MIN(J3404,(L3404*1.6*J3404))))</f>
        <v>388</v>
      </c>
      <c r="N3404" s="127">
        <f>IF(M3404=0,0,(M3404/J3404))</f>
        <v>0.527891156462585</v>
      </c>
    </row>
    <row r="3405" spans="2:14">
      <c r="B3405" s="73">
        <v>127575</v>
      </c>
      <c r="C3405" s="75" t="s">
        <v>1470</v>
      </c>
      <c r="D3405" s="133">
        <f>SUMIF(B$3:B$3844,B3405,M$3:M$3844)/(SUMIF(B$3:B$3844,B3405,J$3:J$3844))</f>
        <v>0.65734639061744049</v>
      </c>
      <c r="E3405" s="75">
        <v>16020220</v>
      </c>
      <c r="F3405" s="46" t="str">
        <f>"TRANSPORTATION - DAYTONA"</f>
        <v>TRANSPORTATION - DAYTONA</v>
      </c>
      <c r="G3405" s="23"/>
      <c r="H3405" s="23"/>
      <c r="I3405" s="41"/>
      <c r="J3405" s="41" t="str">
        <f>"0"</f>
        <v>0</v>
      </c>
      <c r="K3405" s="76"/>
      <c r="L3405" s="76"/>
      <c r="M3405" s="134">
        <f>IF(L3405="",I3405,(MIN(J3405,(L3405*1.6*J3405))))</f>
        <v>0</v>
      </c>
      <c r="N3405" s="127">
        <f>IF(M3405=0,0,(M3405/J3405))</f>
        <v>0</v>
      </c>
    </row>
    <row r="3406" spans="2:14">
      <c r="B3406" s="72">
        <v>127575</v>
      </c>
      <c r="C3406" s="74" t="s">
        <v>1470</v>
      </c>
      <c r="D3406" s="133">
        <f>SUMIF(B$3:B$3844,B3406,M$3:M$3844)/(SUMIF(B$3:B$3844,B3406,J$3:J$3844))</f>
        <v>0.65734639061744049</v>
      </c>
      <c r="E3406" s="74">
        <v>16020221</v>
      </c>
      <c r="F3406" s="48" t="str">
        <f>"TRANSPORTATION - DELAND"</f>
        <v>TRANSPORTATION - DELAND</v>
      </c>
      <c r="G3406" s="47"/>
      <c r="H3406" s="47"/>
      <c r="I3406" s="40"/>
      <c r="J3406" s="40" t="str">
        <f>"0"</f>
        <v>0</v>
      </c>
      <c r="K3406" s="76"/>
      <c r="L3406" s="76"/>
      <c r="M3406" s="134">
        <f>IF(L3406="",I3406,(MIN(J3406,(L3406*1.6*J3406))))</f>
        <v>0</v>
      </c>
      <c r="N3406" s="127">
        <f>IF(M3406=0,0,(M3406/J3406))</f>
        <v>0</v>
      </c>
    </row>
    <row r="3407" spans="2:14">
      <c r="B3407" s="73">
        <v>127575</v>
      </c>
      <c r="C3407" s="75" t="s">
        <v>1470</v>
      </c>
      <c r="D3407" s="133">
        <f>SUMIF(B$3:B$3844,B3407,M$3:M$3844)/(SUMIF(B$3:B$3844,B3407,J$3:J$3844))</f>
        <v>0.65734639061744049</v>
      </c>
      <c r="E3407" s="75">
        <v>16020222</v>
      </c>
      <c r="F3407" s="46" t="str">
        <f>"TRANSPORTATION - DELTONA"</f>
        <v>TRANSPORTATION - DELTONA</v>
      </c>
      <c r="G3407" s="23"/>
      <c r="H3407" s="23"/>
      <c r="I3407" s="41"/>
      <c r="J3407" s="41" t="str">
        <f>"0"</f>
        <v>0</v>
      </c>
      <c r="K3407" s="76"/>
      <c r="L3407" s="76"/>
      <c r="M3407" s="134">
        <f>IF(L3407="",I3407,(MIN(J3407,(L3407*1.6*J3407))))</f>
        <v>0</v>
      </c>
      <c r="N3407" s="127">
        <f>IF(M3407=0,0,(M3407/J3407))</f>
        <v>0</v>
      </c>
    </row>
    <row r="3408" spans="2:14">
      <c r="B3408" s="72">
        <v>127575</v>
      </c>
      <c r="C3408" s="74" t="s">
        <v>1470</v>
      </c>
      <c r="D3408" s="133">
        <f>SUMIF(B$3:B$3844,B3408,M$3:M$3844)/(SUMIF(B$3:B$3844,B3408,J$3:J$3844))</f>
        <v>0.65734639061744049</v>
      </c>
      <c r="E3408" s="74">
        <v>16020223</v>
      </c>
      <c r="F3408" s="48" t="s">
        <v>1488</v>
      </c>
      <c r="G3408" s="47"/>
      <c r="H3408" s="47"/>
      <c r="I3408" s="40"/>
      <c r="J3408" s="40" t="str">
        <f>"0"</f>
        <v>0</v>
      </c>
      <c r="K3408" s="76"/>
      <c r="L3408" s="76"/>
      <c r="M3408" s="134">
        <f>IF(L3408="",I3408,(MIN(J3408,(L3408*1.6*J3408))))</f>
        <v>0</v>
      </c>
      <c r="N3408" s="127">
        <f>IF(M3408=0,0,(M3408/J3408))</f>
        <v>0</v>
      </c>
    </row>
    <row r="3409" spans="2:14">
      <c r="B3409" s="73">
        <v>127575</v>
      </c>
      <c r="C3409" s="75" t="s">
        <v>1470</v>
      </c>
      <c r="D3409" s="133">
        <f>SUMIF(B$3:B$3844,B3409,M$3:M$3844)/(SUMIF(B$3:B$3844,B3409,J$3:J$3844))</f>
        <v>0.65734639061744049</v>
      </c>
      <c r="E3409" s="75">
        <v>16020224</v>
      </c>
      <c r="F3409" s="46" t="str">
        <f>"TRANSPORTATION - ORMOND BEACH"</f>
        <v>TRANSPORTATION - ORMOND BEACH</v>
      </c>
      <c r="G3409" s="23"/>
      <c r="H3409" s="23"/>
      <c r="I3409" s="41"/>
      <c r="J3409" s="41" t="str">
        <f>"0"</f>
        <v>0</v>
      </c>
      <c r="K3409" s="76"/>
      <c r="L3409" s="76"/>
      <c r="M3409" s="134">
        <f>IF(L3409="",I3409,(MIN(J3409,(L3409*1.6*J3409))))</f>
        <v>0</v>
      </c>
      <c r="N3409" s="127">
        <f>IF(M3409=0,0,(M3409/J3409))</f>
        <v>0</v>
      </c>
    </row>
    <row r="3410" spans="2:14">
      <c r="B3410" s="72">
        <v>127575</v>
      </c>
      <c r="C3410" s="74" t="s">
        <v>1470</v>
      </c>
      <c r="D3410" s="133">
        <f>SUMIF(B$3:B$3844,B3410,M$3:M$3844)/(SUMIF(B$3:B$3844,B3410,J$3:J$3844))</f>
        <v>0.65734639061744049</v>
      </c>
      <c r="E3410" s="74">
        <v>16020225</v>
      </c>
      <c r="F3410" s="48" t="str">
        <f>"TRANSPORTATION - PIERSON"</f>
        <v>TRANSPORTATION - PIERSON</v>
      </c>
      <c r="G3410" s="47"/>
      <c r="H3410" s="47"/>
      <c r="I3410" s="40"/>
      <c r="J3410" s="40" t="str">
        <f>"0"</f>
        <v>0</v>
      </c>
      <c r="K3410" s="76"/>
      <c r="L3410" s="76"/>
      <c r="M3410" s="134">
        <f>IF(L3410="",I3410,(MIN(J3410,(L3410*1.6*J3410))))</f>
        <v>0</v>
      </c>
      <c r="N3410" s="127">
        <f>IF(M3410=0,0,(M3410/J3410))</f>
        <v>0</v>
      </c>
    </row>
    <row r="3411" spans="2:14">
      <c r="B3411" s="73">
        <v>127575</v>
      </c>
      <c r="C3411" s="75" t="s">
        <v>1470</v>
      </c>
      <c r="D3411" s="133">
        <f>SUMIF(B$3:B$3844,B3411,M$3:M$3844)/(SUMIF(B$3:B$3844,B3411,J$3:J$3844))</f>
        <v>0.65734639061744049</v>
      </c>
      <c r="E3411" s="75">
        <v>34907</v>
      </c>
      <c r="F3411" s="46" t="s">
        <v>1489</v>
      </c>
      <c r="G3411" s="23"/>
      <c r="H3411" s="23"/>
      <c r="I3411" s="41">
        <v>460</v>
      </c>
      <c r="J3411" s="41">
        <v>475</v>
      </c>
      <c r="K3411" s="76"/>
      <c r="L3411" s="76"/>
      <c r="M3411" s="134">
        <f>IF(L3411="",I3411,(MIN(J3411,(L3411*1.6*J3411))))</f>
        <v>460</v>
      </c>
      <c r="N3411" s="127">
        <f>IF(M3411=0,0,(M3411/J3411))</f>
        <v>0.96842105263157896</v>
      </c>
    </row>
    <row r="3412" spans="2:14">
      <c r="B3412" s="72">
        <v>127575</v>
      </c>
      <c r="C3412" s="74" t="s">
        <v>1470</v>
      </c>
      <c r="D3412" s="133">
        <f>SUMIF(B$3:B$3844,B3412,M$3:M$3844)/(SUMIF(B$3:B$3844,B3412,J$3:J$3844))</f>
        <v>0.65734639061744049</v>
      </c>
      <c r="E3412" s="74">
        <v>16059275</v>
      </c>
      <c r="F3412" s="48" t="str">
        <f>"UNIVERSITY HIGH SCHOOL"</f>
        <v>UNIVERSITY HIGH SCHOOL</v>
      </c>
      <c r="G3412" s="47"/>
      <c r="H3412" s="47"/>
      <c r="I3412" s="40">
        <v>1684</v>
      </c>
      <c r="J3412" s="40">
        <v>2850</v>
      </c>
      <c r="K3412" s="76"/>
      <c r="L3412" s="76"/>
      <c r="M3412" s="134">
        <f>IF(L3412="",I3412,(MIN(J3412,(L3412*1.6*J3412))))</f>
        <v>1684</v>
      </c>
      <c r="N3412" s="127">
        <f>IF(M3412=0,0,(M3412/J3412))</f>
        <v>0.59087719298245611</v>
      </c>
    </row>
    <row r="3413" spans="2:14">
      <c r="B3413" s="73">
        <v>127575</v>
      </c>
      <c r="C3413" s="75" t="s">
        <v>1470</v>
      </c>
      <c r="D3413" s="133">
        <f>SUMIF(B$3:B$3844,B3413,M$3:M$3844)/(SUMIF(B$3:B$3844,B3413,J$3:J$3844))</f>
        <v>0.65734639061744049</v>
      </c>
      <c r="E3413" s="75">
        <v>127575</v>
      </c>
      <c r="F3413" s="46" t="str">
        <f>"VOLUSIA DISTRICT OFFICE"</f>
        <v>VOLUSIA DISTRICT OFFICE</v>
      </c>
      <c r="G3413" s="23"/>
      <c r="H3413" s="23"/>
      <c r="I3413" s="41"/>
      <c r="J3413" s="41" t="str">
        <f>"0"</f>
        <v>0</v>
      </c>
      <c r="K3413" s="76"/>
      <c r="L3413" s="76"/>
      <c r="M3413" s="134">
        <f>IF(L3413="",I3413,(MIN(J3413,(L3413*1.6*J3413))))</f>
        <v>0</v>
      </c>
      <c r="N3413" s="127">
        <f>IF(M3413=0,0,(M3413/J3413))</f>
        <v>0</v>
      </c>
    </row>
    <row r="3414" spans="2:14">
      <c r="B3414" s="72">
        <v>127575</v>
      </c>
      <c r="C3414" s="74" t="s">
        <v>1470</v>
      </c>
      <c r="D3414" s="133">
        <f>SUMIF(B$3:B$3844,B3414,M$3:M$3844)/(SUMIF(B$3:B$3844,B3414,J$3:J$3844))</f>
        <v>0.65734639061744049</v>
      </c>
      <c r="E3414" s="74">
        <v>35868</v>
      </c>
      <c r="F3414" s="48" t="s">
        <v>1490</v>
      </c>
      <c r="G3414" s="47"/>
      <c r="H3414" s="47"/>
      <c r="I3414" s="40">
        <v>476</v>
      </c>
      <c r="J3414" s="40">
        <v>601</v>
      </c>
      <c r="K3414" s="76"/>
      <c r="L3414" s="76"/>
      <c r="M3414" s="134">
        <f>IF(L3414="",I3414,(MIN(J3414,(L3414*1.6*J3414))))</f>
        <v>476</v>
      </c>
      <c r="N3414" s="127">
        <f>IF(M3414=0,0,(M3414/J3414))</f>
        <v>0.79201331114808649</v>
      </c>
    </row>
    <row r="3415" spans="2:14">
      <c r="B3415" s="73">
        <v>127575</v>
      </c>
      <c r="C3415" s="75" t="s">
        <v>1470</v>
      </c>
      <c r="D3415" s="133">
        <f>SUMIF(B$3:B$3844,B3415,M$3:M$3844)/(SUMIF(B$3:B$3844,B3415,J$3:J$3844))</f>
        <v>0.65734639061744049</v>
      </c>
      <c r="E3415" s="75">
        <v>16065850</v>
      </c>
      <c r="F3415" s="46" t="str">
        <f>"WALTER A. HURST"</f>
        <v>WALTER A. HURST</v>
      </c>
      <c r="G3415" s="23"/>
      <c r="H3415" s="23"/>
      <c r="I3415" s="41"/>
      <c r="J3415" s="41" t="str">
        <f>"0"</f>
        <v>0</v>
      </c>
      <c r="K3415" s="76"/>
      <c r="L3415" s="76"/>
      <c r="M3415" s="134">
        <f>IF(L3415="",I3415,(MIN(J3415,(L3415*1.6*J3415))))</f>
        <v>0</v>
      </c>
      <c r="N3415" s="127">
        <f>IF(M3415=0,0,(M3415/J3415))</f>
        <v>0</v>
      </c>
    </row>
    <row r="3416" spans="2:14">
      <c r="B3416" s="72">
        <v>127575</v>
      </c>
      <c r="C3416" s="74" t="s">
        <v>1470</v>
      </c>
      <c r="D3416" s="133">
        <f>SUMIF(B$3:B$3844,B3416,M$3:M$3844)/(SUMIF(B$3:B$3844,B3416,J$3:J$3844))</f>
        <v>0.65734639061744049</v>
      </c>
      <c r="E3416" s="74">
        <v>34916</v>
      </c>
      <c r="F3416" s="48" t="str">
        <f>"WESTSIDE ELEMENTARY SCHOOL"</f>
        <v>WESTSIDE ELEMENTARY SCHOOL</v>
      </c>
      <c r="G3416" s="47"/>
      <c r="H3416" s="47"/>
      <c r="I3416" s="40">
        <v>598</v>
      </c>
      <c r="J3416" s="40">
        <v>624</v>
      </c>
      <c r="K3416" s="76"/>
      <c r="L3416" s="76"/>
      <c r="M3416" s="134">
        <f>IF(L3416="",I3416,(MIN(J3416,(L3416*1.6*J3416))))</f>
        <v>598</v>
      </c>
      <c r="N3416" s="127">
        <f>IF(M3416=0,0,(M3416/J3416))</f>
        <v>0.95833333333333337</v>
      </c>
    </row>
    <row r="3417" spans="2:14">
      <c r="B3417" s="73">
        <v>127575</v>
      </c>
      <c r="C3417" s="75" t="s">
        <v>1470</v>
      </c>
      <c r="D3417" s="133">
        <f>SUMIF(B$3:B$3844,B3417,M$3:M$3844)/(SUMIF(B$3:B$3844,B3417,J$3:J$3844))</f>
        <v>0.65734639061744049</v>
      </c>
      <c r="E3417" s="75">
        <v>35833</v>
      </c>
      <c r="F3417" s="46" t="s">
        <v>1491</v>
      </c>
      <c r="G3417" s="23"/>
      <c r="H3417" s="23"/>
      <c r="I3417" s="41">
        <v>507</v>
      </c>
      <c r="J3417" s="41">
        <v>677</v>
      </c>
      <c r="K3417" s="76"/>
      <c r="L3417" s="76"/>
      <c r="M3417" s="134">
        <f>IF(L3417="",I3417,(MIN(J3417,(L3417*1.6*J3417))))</f>
        <v>507</v>
      </c>
      <c r="N3417" s="127">
        <f>IF(M3417=0,0,(M3417/J3417))</f>
        <v>0.74889217134416541</v>
      </c>
    </row>
    <row r="3418" spans="2:14">
      <c r="B3418" s="73">
        <v>127605</v>
      </c>
      <c r="C3418" s="75" t="s">
        <v>1632</v>
      </c>
      <c r="D3418" s="133">
        <f>SUMIF(B$3:B$3844,B3418,M$3:M$3844)/(SUMIF(B$3:B$3844,B3418,J$3:J$3844))</f>
        <v>0.66779170684667311</v>
      </c>
      <c r="E3418" s="74">
        <v>35324</v>
      </c>
      <c r="F3418" s="48" t="s">
        <v>1635</v>
      </c>
      <c r="G3418" s="117"/>
      <c r="H3418" s="117"/>
      <c r="I3418" s="40"/>
      <c r="J3418" s="40">
        <v>481</v>
      </c>
      <c r="K3418" s="135">
        <v>2015</v>
      </c>
      <c r="L3418" s="136">
        <v>49.4</v>
      </c>
      <c r="M3418" s="134">
        <f>IF(L3418="",I3418,(MIN(J3418,(L3418*1.6*J3418))))</f>
        <v>481</v>
      </c>
      <c r="N3418" s="127">
        <f>IF(M3418=0,0,(M3418/J3418))</f>
        <v>1</v>
      </c>
    </row>
    <row r="3419" spans="2:14">
      <c r="B3419" s="72">
        <v>127605</v>
      </c>
      <c r="C3419" s="74" t="s">
        <v>1632</v>
      </c>
      <c r="D3419" s="133">
        <f>SUMIF(B$3:B$3844,B3419,M$3:M$3844)/(SUMIF(B$3:B$3844,B3419,J$3:J$3844))</f>
        <v>0.66779170684667311</v>
      </c>
      <c r="E3419" s="74">
        <v>16048110</v>
      </c>
      <c r="F3419" s="48" t="s">
        <v>1636</v>
      </c>
      <c r="G3419" s="117"/>
      <c r="H3419" s="117"/>
      <c r="I3419" s="40"/>
      <c r="J3419" s="40">
        <v>450</v>
      </c>
      <c r="K3419" s="135">
        <v>2015</v>
      </c>
      <c r="L3419" s="136">
        <v>49.4</v>
      </c>
      <c r="M3419" s="134">
        <f>IF(L3419="",I3419,(MIN(J3419,(L3419*1.6*J3419))))</f>
        <v>450</v>
      </c>
      <c r="N3419" s="127">
        <f>IF(M3419=0,0,(M3419/J3419))</f>
        <v>1</v>
      </c>
    </row>
    <row r="3420" spans="2:14">
      <c r="B3420" s="72">
        <v>127605</v>
      </c>
      <c r="C3420" s="141" t="s">
        <v>1632</v>
      </c>
      <c r="D3420" s="133">
        <f>SUMIF(B$3:B$3844,B3420,M$3:M$3844)/(SUMIF(B$3:B$3844,B3420,J$3:J$3844))</f>
        <v>0.66779170684667311</v>
      </c>
      <c r="E3420" s="74">
        <v>227639</v>
      </c>
      <c r="F3420" s="48" t="s">
        <v>1637</v>
      </c>
      <c r="G3420" s="117"/>
      <c r="H3420" s="117"/>
      <c r="I3420" s="40">
        <v>230</v>
      </c>
      <c r="J3420" s="40">
        <v>499</v>
      </c>
      <c r="K3420" s="135"/>
      <c r="L3420" s="136"/>
      <c r="M3420" s="134">
        <f>IF(L3420="",I3420,(MIN(J3420,(L3420*1.6*J3420))))</f>
        <v>230</v>
      </c>
      <c r="N3420" s="127">
        <f>IF(M3420=0,0,(M3420/J3420))</f>
        <v>0.46092184368737477</v>
      </c>
    </row>
    <row r="3421" spans="2:14" ht="30">
      <c r="B3421" s="72">
        <v>127605</v>
      </c>
      <c r="C3421" s="141" t="s">
        <v>1632</v>
      </c>
      <c r="D3421" s="133">
        <f>SUMIF(B$3:B$3844,B3421,M$3:M$3844)/(SUMIF(B$3:B$3844,B3421,J$3:J$3844))</f>
        <v>0.66779170684667311</v>
      </c>
      <c r="E3421" s="74"/>
      <c r="F3421" s="48" t="s">
        <v>1633</v>
      </c>
      <c r="G3421" s="117"/>
      <c r="H3421" s="117"/>
      <c r="I3421" s="40"/>
      <c r="J3421" s="40">
        <v>32</v>
      </c>
      <c r="K3421" s="135">
        <v>2015</v>
      </c>
      <c r="L3421" s="136">
        <v>49.4</v>
      </c>
      <c r="M3421" s="134">
        <f>IF(L3421="",I3421,(MIN(J3421,(L3421*1.6*J3421))))</f>
        <v>32</v>
      </c>
      <c r="N3421" s="127">
        <f>IF(M3421=0,0,(M3421/J3421))</f>
        <v>1</v>
      </c>
    </row>
    <row r="3422" spans="2:14">
      <c r="B3422" s="72">
        <v>127605</v>
      </c>
      <c r="C3422" s="141" t="s">
        <v>1632</v>
      </c>
      <c r="D3422" s="133">
        <f>SUMIF(B$3:B$3844,B3422,M$3:M$3844)/(SUMIF(B$3:B$3844,B3422,J$3:J$3844))</f>
        <v>0.66779170684667311</v>
      </c>
      <c r="E3422" s="74">
        <v>35320</v>
      </c>
      <c r="F3422" s="48" t="s">
        <v>1638</v>
      </c>
      <c r="G3422" s="117"/>
      <c r="H3422" s="117"/>
      <c r="I3422" s="40"/>
      <c r="J3422" s="40">
        <v>573</v>
      </c>
      <c r="K3422" s="135">
        <v>2015</v>
      </c>
      <c r="L3422" s="136">
        <v>49.4</v>
      </c>
      <c r="M3422" s="134">
        <f>IF(L3422="",I3422,(MIN(J3422,(L3422*1.6*J3422))))</f>
        <v>573</v>
      </c>
      <c r="N3422" s="127">
        <f>IF(M3422=0,0,(M3422/J3422))</f>
        <v>1</v>
      </c>
    </row>
    <row r="3423" spans="2:14">
      <c r="B3423" s="72">
        <v>127605</v>
      </c>
      <c r="C3423" s="141" t="s">
        <v>1632</v>
      </c>
      <c r="D3423" s="133">
        <f>SUMIF(B$3:B$3844,B3423,M$3:M$3844)/(SUMIF(B$3:B$3844,B3423,J$3:J$3844))</f>
        <v>0.66779170684667311</v>
      </c>
      <c r="E3423" s="74"/>
      <c r="F3423" s="48" t="s">
        <v>1639</v>
      </c>
      <c r="G3423" s="117"/>
      <c r="H3423" s="117"/>
      <c r="I3423" s="40">
        <v>30</v>
      </c>
      <c r="J3423" s="40">
        <v>58</v>
      </c>
      <c r="K3423" s="135"/>
      <c r="L3423" s="136"/>
      <c r="M3423" s="134">
        <f>IF(L3423="",I3423,(MIN(J3423,(L3423*1.6*J3423))))</f>
        <v>30</v>
      </c>
      <c r="N3423" s="127">
        <f>IF(M3423=0,0,(M3423/J3423))</f>
        <v>0.51724137931034486</v>
      </c>
    </row>
    <row r="3424" spans="2:14">
      <c r="B3424" s="72">
        <v>127605</v>
      </c>
      <c r="C3424" s="141" t="s">
        <v>1632</v>
      </c>
      <c r="D3424" s="133">
        <f>SUMIF(B$3:B$3844,B3424,M$3:M$3844)/(SUMIF(B$3:B$3844,B3424,J$3:J$3844))</f>
        <v>0.66779170684667311</v>
      </c>
      <c r="E3424" s="74">
        <v>16084366</v>
      </c>
      <c r="F3424" s="48" t="s">
        <v>1640</v>
      </c>
      <c r="G3424" s="117"/>
      <c r="H3424" s="117"/>
      <c r="I3424" s="40"/>
      <c r="J3424" s="40" t="s">
        <v>264</v>
      </c>
      <c r="K3424" s="135"/>
      <c r="L3424" s="136"/>
      <c r="M3424" s="134">
        <f>IF(L3424="",I3424,(MIN(J3424,(L3424*1.6*J3424))))</f>
        <v>0</v>
      </c>
      <c r="N3424" s="127">
        <f>IF(M3424=0,0,(M3424/J3424))</f>
        <v>0</v>
      </c>
    </row>
    <row r="3425" spans="2:14">
      <c r="B3425" s="72">
        <v>127605</v>
      </c>
      <c r="C3425" s="141" t="s">
        <v>1632</v>
      </c>
      <c r="D3425" s="133">
        <f>SUMIF(B$3:B$3844,B3425,M$3:M$3844)/(SUMIF(B$3:B$3844,B3425,J$3:J$3844))</f>
        <v>0.66779170684667311</v>
      </c>
      <c r="E3425" s="74">
        <v>35323</v>
      </c>
      <c r="F3425" s="48" t="s">
        <v>1634</v>
      </c>
      <c r="G3425" s="117"/>
      <c r="H3425" s="117"/>
      <c r="I3425" s="40">
        <v>641</v>
      </c>
      <c r="J3425" s="40">
        <v>1443</v>
      </c>
      <c r="K3425" s="135"/>
      <c r="L3425" s="136"/>
      <c r="M3425" s="134">
        <f>IF(L3425="",I3425,(MIN(J3425,(L3425*1.6*J3425))))</f>
        <v>641</v>
      </c>
      <c r="N3425" s="127">
        <f>IF(M3425=0,0,(M3425/J3425))</f>
        <v>0.44421344421344422</v>
      </c>
    </row>
    <row r="3426" spans="2:14">
      <c r="B3426" s="72">
        <v>127605</v>
      </c>
      <c r="C3426" s="141" t="s">
        <v>1632</v>
      </c>
      <c r="D3426" s="133">
        <f>SUMIF(B$3:B$3844,B3426,M$3:M$3844)/(SUMIF(B$3:B$3844,B3426,J$3:J$3844))</f>
        <v>0.66779170684667311</v>
      </c>
      <c r="E3426" s="74">
        <v>35322</v>
      </c>
      <c r="F3426" s="48" t="s">
        <v>1641</v>
      </c>
      <c r="G3426" s="117"/>
      <c r="H3426" s="117"/>
      <c r="I3426" s="40">
        <v>333</v>
      </c>
      <c r="J3426" s="40">
        <v>612</v>
      </c>
      <c r="K3426" s="135"/>
      <c r="L3426" s="136"/>
      <c r="M3426" s="134">
        <f>IF(L3426="",I3426,(MIN(J3426,(L3426*1.6*J3426))))</f>
        <v>333</v>
      </c>
      <c r="N3426" s="127">
        <f>IF(M3426=0,0,(M3426/J3426))</f>
        <v>0.54411764705882348</v>
      </c>
    </row>
    <row r="3427" spans="2:14">
      <c r="B3427" s="73">
        <v>127635</v>
      </c>
      <c r="C3427" s="75" t="s">
        <v>2378</v>
      </c>
      <c r="D3427" s="133">
        <f>SUMIF(B$3:B$3844,B3427,M$3:M$3844)/(SUMIF(B$3:B$3844,B3427,J$3:J$3844))</f>
        <v>0.56067047248876478</v>
      </c>
      <c r="E3427" s="75">
        <v>35469</v>
      </c>
      <c r="F3427" s="46" t="s">
        <v>2379</v>
      </c>
      <c r="G3427" s="23"/>
      <c r="H3427" s="23"/>
      <c r="I3427" s="41">
        <v>100</v>
      </c>
      <c r="J3427" s="41">
        <v>367</v>
      </c>
      <c r="K3427" s="135"/>
      <c r="L3427" s="136"/>
      <c r="M3427" s="134">
        <f>IF(L3427="",I3427,(MIN(J3427,(L3427*1.6*J3427))))</f>
        <v>100</v>
      </c>
      <c r="N3427" s="127">
        <f>IF(M3427=0,0,(M3427/J3427))</f>
        <v>0.27247956403269757</v>
      </c>
    </row>
    <row r="3428" spans="2:14">
      <c r="B3428" s="72">
        <v>127635</v>
      </c>
      <c r="C3428" s="74" t="s">
        <v>2378</v>
      </c>
      <c r="D3428" s="133">
        <f>SUMIF(B$3:B$3844,B3428,M$3:M$3844)/(SUMIF(B$3:B$3844,B3428,J$3:J$3844))</f>
        <v>0.56067047248876478</v>
      </c>
      <c r="E3428" s="74">
        <v>16038541</v>
      </c>
      <c r="F3428" s="48" t="s">
        <v>2380</v>
      </c>
      <c r="G3428" s="47"/>
      <c r="H3428" s="47"/>
      <c r="I3428" s="40">
        <v>290</v>
      </c>
      <c r="J3428" s="40">
        <v>854</v>
      </c>
      <c r="K3428" s="135"/>
      <c r="L3428" s="136"/>
      <c r="M3428" s="134">
        <f>IF(L3428="",I3428,(MIN(J3428,(L3428*1.6*J3428))))</f>
        <v>290</v>
      </c>
      <c r="N3428" s="127">
        <f>IF(M3428=0,0,(M3428/J3428))</f>
        <v>0.33957845433255268</v>
      </c>
    </row>
    <row r="3429" spans="2:14">
      <c r="B3429" s="73">
        <v>127635</v>
      </c>
      <c r="C3429" s="75" t="s">
        <v>2378</v>
      </c>
      <c r="D3429" s="133">
        <f>SUMIF(B$3:B$3844,B3429,M$3:M$3844)/(SUMIF(B$3:B$3844,B3429,J$3:J$3844))</f>
        <v>0.56067047248876478</v>
      </c>
      <c r="E3429" s="75">
        <v>35438</v>
      </c>
      <c r="F3429" s="46" t="s">
        <v>2381</v>
      </c>
      <c r="G3429" s="23"/>
      <c r="H3429" s="23"/>
      <c r="I3429" s="41">
        <v>420</v>
      </c>
      <c r="J3429" s="41">
        <v>633</v>
      </c>
      <c r="K3429" s="135"/>
      <c r="L3429" s="136"/>
      <c r="M3429" s="134">
        <f>IF(L3429="",I3429,(MIN(J3429,(L3429*1.6*J3429))))</f>
        <v>420</v>
      </c>
      <c r="N3429" s="127">
        <f>IF(M3429=0,0,(M3429/J3429))</f>
        <v>0.6635071090047393</v>
      </c>
    </row>
    <row r="3430" spans="2:14">
      <c r="B3430" s="72">
        <v>127635</v>
      </c>
      <c r="C3430" s="74" t="s">
        <v>2378</v>
      </c>
      <c r="D3430" s="133">
        <f>SUMIF(B$3:B$3844,B3430,M$3:M$3844)/(SUMIF(B$3:B$3844,B3430,J$3:J$3844))</f>
        <v>0.56067047248876478</v>
      </c>
      <c r="E3430" s="74">
        <v>205726</v>
      </c>
      <c r="F3430" s="48" t="s">
        <v>2382</v>
      </c>
      <c r="G3430" s="47"/>
      <c r="H3430" s="47"/>
      <c r="I3430" s="40">
        <v>304</v>
      </c>
      <c r="J3430" s="40">
        <v>444</v>
      </c>
      <c r="K3430" s="135"/>
      <c r="L3430" s="136"/>
      <c r="M3430" s="134">
        <f>IF(L3430="",I3430,(MIN(J3430,(L3430*1.6*J3430))))</f>
        <v>304</v>
      </c>
      <c r="N3430" s="127">
        <f>IF(M3430=0,0,(M3430/J3430))</f>
        <v>0.68468468468468469</v>
      </c>
    </row>
    <row r="3431" spans="2:14">
      <c r="B3431" s="73">
        <v>127635</v>
      </c>
      <c r="C3431" s="75" t="s">
        <v>2378</v>
      </c>
      <c r="D3431" s="133">
        <f>SUMIF(B$3:B$3844,B3431,M$3:M$3844)/(SUMIF(B$3:B$3844,B3431,J$3:J$3844))</f>
        <v>0.56067047248876478</v>
      </c>
      <c r="E3431" s="75">
        <v>35436</v>
      </c>
      <c r="F3431" s="46" t="s">
        <v>2383</v>
      </c>
      <c r="G3431" s="23"/>
      <c r="H3431" s="23"/>
      <c r="I3431" s="41">
        <v>223</v>
      </c>
      <c r="J3431" s="41">
        <v>397</v>
      </c>
      <c r="K3431" s="135"/>
      <c r="L3431" s="136"/>
      <c r="M3431" s="134">
        <f>IF(L3431="",I3431,(MIN(J3431,(L3431*1.6*J3431))))</f>
        <v>223</v>
      </c>
      <c r="N3431" s="127">
        <f>IF(M3431=0,0,(M3431/J3431))</f>
        <v>0.5617128463476071</v>
      </c>
    </row>
    <row r="3432" spans="2:14">
      <c r="B3432" s="72">
        <v>127635</v>
      </c>
      <c r="C3432" s="74" t="s">
        <v>2378</v>
      </c>
      <c r="D3432" s="133">
        <f>SUMIF(B$3:B$3844,B3432,M$3:M$3844)/(SUMIF(B$3:B$3844,B3432,J$3:J$3844))</f>
        <v>0.56067047248876478</v>
      </c>
      <c r="E3432" s="74">
        <v>35433</v>
      </c>
      <c r="F3432" s="48" t="s">
        <v>2384</v>
      </c>
      <c r="G3432" s="47"/>
      <c r="H3432" s="47"/>
      <c r="I3432" s="40">
        <v>592</v>
      </c>
      <c r="J3432" s="40">
        <v>674</v>
      </c>
      <c r="K3432" s="135"/>
      <c r="L3432" s="136"/>
      <c r="M3432" s="134">
        <f>IF(L3432="",I3432,(MIN(J3432,(L3432*1.6*J3432))))</f>
        <v>592</v>
      </c>
      <c r="N3432" s="127">
        <f>IF(M3432=0,0,(M3432/J3432))</f>
        <v>0.87833827893175076</v>
      </c>
    </row>
    <row r="3433" spans="2:14">
      <c r="B3433" s="73">
        <v>127635</v>
      </c>
      <c r="C3433" s="75" t="s">
        <v>2378</v>
      </c>
      <c r="D3433" s="133">
        <f>SUMIF(B$3:B$3844,B3433,M$3:M$3844)/(SUMIF(B$3:B$3844,B3433,J$3:J$3844))</f>
        <v>0.56067047248876478</v>
      </c>
      <c r="E3433" s="75">
        <v>16044890</v>
      </c>
      <c r="F3433" s="46" t="s">
        <v>2385</v>
      </c>
      <c r="G3433" s="23"/>
      <c r="H3433" s="23"/>
      <c r="I3433" s="41">
        <v>283</v>
      </c>
      <c r="J3433" s="41">
        <v>346</v>
      </c>
      <c r="K3433" s="135"/>
      <c r="L3433" s="136"/>
      <c r="M3433" s="134">
        <f>IF(L3433="",I3433,(MIN(J3433,(L3433*1.6*J3433))))</f>
        <v>283</v>
      </c>
      <c r="N3433" s="127">
        <f>IF(M3433=0,0,(M3433/J3433))</f>
        <v>0.81791907514450868</v>
      </c>
    </row>
    <row r="3434" spans="2:14">
      <c r="B3434" s="72">
        <v>127635</v>
      </c>
      <c r="C3434" s="74" t="s">
        <v>2378</v>
      </c>
      <c r="D3434" s="133">
        <f>SUMIF(B$3:B$3844,B3434,M$3:M$3844)/(SUMIF(B$3:B$3844,B3434,J$3:J$3844))</f>
        <v>0.56067047248876478</v>
      </c>
      <c r="E3434" s="74">
        <v>35580</v>
      </c>
      <c r="F3434" s="48" t="s">
        <v>2386</v>
      </c>
      <c r="G3434" s="47"/>
      <c r="H3434" s="47"/>
      <c r="I3434" s="40">
        <v>457</v>
      </c>
      <c r="J3434" s="40">
        <v>778</v>
      </c>
      <c r="K3434" s="135"/>
      <c r="L3434" s="136"/>
      <c r="M3434" s="134">
        <f>IF(L3434="",I3434,(MIN(J3434,(L3434*1.6*J3434))))</f>
        <v>457</v>
      </c>
      <c r="N3434" s="127">
        <f>IF(M3434=0,0,(M3434/J3434))</f>
        <v>0.58740359897172234</v>
      </c>
    </row>
    <row r="3435" spans="2:14">
      <c r="B3435" s="73">
        <v>127635</v>
      </c>
      <c r="C3435" s="75" t="s">
        <v>2378</v>
      </c>
      <c r="D3435" s="133">
        <f>SUMIF(B$3:B$3844,B3435,M$3:M$3844)/(SUMIF(B$3:B$3844,B3435,J$3:J$3844))</f>
        <v>0.56067047248876478</v>
      </c>
      <c r="E3435" s="75">
        <v>222037</v>
      </c>
      <c r="F3435" s="46" t="s">
        <v>2387</v>
      </c>
      <c r="G3435" s="23"/>
      <c r="H3435" s="23"/>
      <c r="I3435" s="41">
        <v>204</v>
      </c>
      <c r="J3435" s="41">
        <v>670</v>
      </c>
      <c r="K3435" s="135"/>
      <c r="L3435" s="136"/>
      <c r="M3435" s="134">
        <f>IF(L3435="",I3435,(MIN(J3435,(L3435*1.6*J3435))))</f>
        <v>204</v>
      </c>
      <c r="N3435" s="127">
        <f>IF(M3435=0,0,(M3435/J3435))</f>
        <v>0.30447761194029849</v>
      </c>
    </row>
    <row r="3436" spans="2:14">
      <c r="B3436" s="72">
        <v>127635</v>
      </c>
      <c r="C3436" s="74" t="s">
        <v>2378</v>
      </c>
      <c r="D3436" s="133">
        <f>SUMIF(B$3:B$3844,B3436,M$3:M$3844)/(SUMIF(B$3:B$3844,B3436,J$3:J$3844))</f>
        <v>0.56067047248876478</v>
      </c>
      <c r="E3436" s="74">
        <v>174086</v>
      </c>
      <c r="F3436" s="48" t="s">
        <v>2388</v>
      </c>
      <c r="G3436" s="47"/>
      <c r="H3436" s="47"/>
      <c r="I3436" s="40">
        <v>303</v>
      </c>
      <c r="J3436" s="40">
        <v>1003</v>
      </c>
      <c r="K3436" s="135"/>
      <c r="L3436" s="136"/>
      <c r="M3436" s="134">
        <f>IF(L3436="",I3436,(MIN(J3436,(L3436*1.6*J3436))))</f>
        <v>303</v>
      </c>
      <c r="N3436" s="127">
        <f>IF(M3436=0,0,(M3436/J3436))</f>
        <v>0.30209371884346958</v>
      </c>
    </row>
    <row r="3437" spans="2:14" ht="30">
      <c r="B3437" s="73">
        <v>127635</v>
      </c>
      <c r="C3437" s="75" t="s">
        <v>2378</v>
      </c>
      <c r="D3437" s="133">
        <f>SUMIF(B$3:B$3844,B3437,M$3:M$3844)/(SUMIF(B$3:B$3844,B3437,J$3:J$3844))</f>
        <v>0.56067047248876478</v>
      </c>
      <c r="E3437" s="75">
        <v>35431</v>
      </c>
      <c r="F3437" s="46" t="s">
        <v>2389</v>
      </c>
      <c r="G3437" s="23"/>
      <c r="H3437" s="23"/>
      <c r="I3437" s="41"/>
      <c r="J3437" s="41" t="s">
        <v>798</v>
      </c>
      <c r="K3437" s="135"/>
      <c r="L3437" s="136"/>
      <c r="M3437" s="134">
        <f>IF(L3437="",I3437,(MIN(J3437,(L3437*1.6*J3437))))</f>
        <v>0</v>
      </c>
      <c r="N3437" s="127">
        <f>IF(M3437=0,0,(M3437/J3437))</f>
        <v>0</v>
      </c>
    </row>
    <row r="3438" spans="2:14">
      <c r="B3438" s="72">
        <v>127635</v>
      </c>
      <c r="C3438" s="74" t="s">
        <v>2378</v>
      </c>
      <c r="D3438" s="133">
        <f>SUMIF(B$3:B$3844,B3438,M$3:M$3844)/(SUMIF(B$3:B$3844,B3438,J$3:J$3844))</f>
        <v>0.56067047248876478</v>
      </c>
      <c r="E3438" s="74">
        <v>35434</v>
      </c>
      <c r="F3438" s="48" t="s">
        <v>2390</v>
      </c>
      <c r="G3438" s="47"/>
      <c r="H3438" s="47"/>
      <c r="I3438" s="40">
        <v>490</v>
      </c>
      <c r="J3438" s="40">
        <v>767</v>
      </c>
      <c r="K3438" s="135"/>
      <c r="L3438" s="136"/>
      <c r="M3438" s="134">
        <f>IF(L3438="",I3438,(MIN(J3438,(L3438*1.6*J3438))))</f>
        <v>490</v>
      </c>
      <c r="N3438" s="127">
        <f>IF(M3438=0,0,(M3438/J3438))</f>
        <v>0.63885267275097779</v>
      </c>
    </row>
    <row r="3439" spans="2:14">
      <c r="B3439" s="73">
        <v>127635</v>
      </c>
      <c r="C3439" s="75" t="s">
        <v>2378</v>
      </c>
      <c r="D3439" s="133">
        <f>SUMIF(B$3:B$3844,B3439,M$3:M$3844)/(SUMIF(B$3:B$3844,B3439,J$3:J$3844))</f>
        <v>0.56067047248876478</v>
      </c>
      <c r="E3439" s="75">
        <v>35430</v>
      </c>
      <c r="F3439" s="46" t="s">
        <v>2391</v>
      </c>
      <c r="G3439" s="23"/>
      <c r="H3439" s="23"/>
      <c r="I3439" s="41">
        <v>469</v>
      </c>
      <c r="J3439" s="41">
        <v>631</v>
      </c>
      <c r="K3439" s="135"/>
      <c r="L3439" s="136"/>
      <c r="M3439" s="134">
        <f>IF(L3439="",I3439,(MIN(J3439,(L3439*1.6*J3439))))</f>
        <v>469</v>
      </c>
      <c r="N3439" s="127">
        <f>IF(M3439=0,0,(M3439/J3439))</f>
        <v>0.74326465927099838</v>
      </c>
    </row>
    <row r="3440" spans="2:14">
      <c r="B3440" s="72">
        <v>127635</v>
      </c>
      <c r="C3440" s="74" t="s">
        <v>2378</v>
      </c>
      <c r="D3440" s="133">
        <f>SUMIF(B$3:B$3844,B3440,M$3:M$3844)/(SUMIF(B$3:B$3844,B3440,J$3:J$3844))</f>
        <v>0.56067047248876478</v>
      </c>
      <c r="E3440" s="74">
        <v>35432</v>
      </c>
      <c r="F3440" s="48" t="s">
        <v>2392</v>
      </c>
      <c r="G3440" s="47"/>
      <c r="H3440" s="47"/>
      <c r="I3440" s="40">
        <v>481</v>
      </c>
      <c r="J3440" s="40">
        <v>669</v>
      </c>
      <c r="K3440" s="135"/>
      <c r="L3440" s="136"/>
      <c r="M3440" s="134">
        <f>IF(L3440="",I3440,(MIN(J3440,(L3440*1.6*J3440))))</f>
        <v>481</v>
      </c>
      <c r="N3440" s="127">
        <f>IF(M3440=0,0,(M3440/J3440))</f>
        <v>0.71898355754858001</v>
      </c>
    </row>
    <row r="3441" spans="2:14">
      <c r="B3441" s="72">
        <v>127631</v>
      </c>
      <c r="C3441" s="74" t="s">
        <v>1492</v>
      </c>
      <c r="D3441" s="133">
        <f>SUMIF(B$3:B$3844,B3441,M$3:M$3844)/(SUMIF(B$3:B$3844,B3441,J$3:J$3844))</f>
        <v>0.72941176470588232</v>
      </c>
      <c r="E3441" s="74">
        <v>35423</v>
      </c>
      <c r="F3441" s="48" t="s">
        <v>1493</v>
      </c>
      <c r="G3441" s="47"/>
      <c r="H3441" s="47"/>
      <c r="I3441" s="40">
        <v>290</v>
      </c>
      <c r="J3441" s="40">
        <v>554</v>
      </c>
      <c r="K3441" s="135"/>
      <c r="L3441" s="136"/>
      <c r="M3441" s="134">
        <f>IF(L3441="",I3441,(MIN(J3441,(L3441*1.6*J3441))))</f>
        <v>290</v>
      </c>
      <c r="N3441" s="127">
        <f>IF(M3441=0,0,(M3441/J3441))</f>
        <v>0.52346570397111913</v>
      </c>
    </row>
    <row r="3442" spans="2:14">
      <c r="B3442" s="72">
        <v>127631</v>
      </c>
      <c r="C3442" s="74" t="s">
        <v>1492</v>
      </c>
      <c r="D3442" s="133">
        <f>SUMIF(B$3:B$3844,B3442,M$3:M$3844)/(SUMIF(B$3:B$3844,B3442,J$3:J$3844))</f>
        <v>0.72941176470588232</v>
      </c>
      <c r="E3442" s="74">
        <v>35426</v>
      </c>
      <c r="F3442" s="48" t="s">
        <v>1494</v>
      </c>
      <c r="G3442" s="47"/>
      <c r="H3442" s="47"/>
      <c r="I3442" s="40">
        <v>516</v>
      </c>
      <c r="J3442" s="40">
        <v>764</v>
      </c>
      <c r="K3442" s="135"/>
      <c r="L3442" s="136"/>
      <c r="M3442" s="134">
        <f>IF(L3442="",I3442,(MIN(J3442,(L3442*1.6*J3442))))</f>
        <v>516</v>
      </c>
      <c r="N3442" s="127">
        <f>IF(M3442=0,0,(M3442/J3442))</f>
        <v>0.67539267015706805</v>
      </c>
    </row>
    <row r="3443" spans="2:14">
      <c r="B3443" s="72">
        <v>127631</v>
      </c>
      <c r="C3443" s="74" t="s">
        <v>1492</v>
      </c>
      <c r="D3443" s="133">
        <f>SUMIF(B$3:B$3844,B3443,M$3:M$3844)/(SUMIF(B$3:B$3844,B3443,J$3:J$3844))</f>
        <v>0.72941176470588232</v>
      </c>
      <c r="E3443" s="74">
        <v>228467</v>
      </c>
      <c r="F3443" s="48" t="s">
        <v>1495</v>
      </c>
      <c r="G3443" s="47"/>
      <c r="H3443" s="47"/>
      <c r="I3443" s="40">
        <v>124</v>
      </c>
      <c r="J3443" s="40">
        <v>124</v>
      </c>
      <c r="K3443" s="135"/>
      <c r="L3443" s="136"/>
      <c r="M3443" s="134">
        <f>IF(L3443="",I3443,(MIN(J3443,(L3443*1.6*J3443))))</f>
        <v>124</v>
      </c>
      <c r="N3443" s="127">
        <f>IF(M3443=0,0,(M3443/J3443))</f>
        <v>1</v>
      </c>
    </row>
    <row r="3444" spans="2:14">
      <c r="B3444" s="72">
        <v>127631</v>
      </c>
      <c r="C3444" s="74" t="s">
        <v>1492</v>
      </c>
      <c r="D3444" s="133">
        <f>SUMIF(B$3:B$3844,B3444,M$3:M$3844)/(SUMIF(B$3:B$3844,B3444,J$3:J$3844))</f>
        <v>0.72941176470588232</v>
      </c>
      <c r="E3444" s="74">
        <v>35424</v>
      </c>
      <c r="F3444" s="48" t="s">
        <v>1496</v>
      </c>
      <c r="G3444" s="47"/>
      <c r="H3444" s="47"/>
      <c r="I3444" s="40">
        <v>368</v>
      </c>
      <c r="J3444" s="40">
        <v>569</v>
      </c>
      <c r="K3444" s="135"/>
      <c r="L3444" s="136"/>
      <c r="M3444" s="134">
        <f>IF(L3444="",I3444,(MIN(J3444,(L3444*1.6*J3444))))</f>
        <v>368</v>
      </c>
      <c r="N3444" s="127">
        <f>IF(M3444=0,0,(M3444/J3444))</f>
        <v>0.64674868189806678</v>
      </c>
    </row>
    <row r="3445" spans="2:14">
      <c r="B3445" s="72">
        <v>127631</v>
      </c>
      <c r="C3445" s="74" t="s">
        <v>1492</v>
      </c>
      <c r="D3445" s="133">
        <f>SUMIF(B$3:B$3844,B3445,M$3:M$3844)/(SUMIF(B$3:B$3844,B3445,J$3:J$3844))</f>
        <v>0.72941176470588232</v>
      </c>
      <c r="E3445" s="74">
        <v>35474</v>
      </c>
      <c r="F3445" s="48" t="s">
        <v>1497</v>
      </c>
      <c r="G3445" s="47"/>
      <c r="H3445" s="47"/>
      <c r="I3445" s="40">
        <v>548</v>
      </c>
      <c r="J3445" s="40">
        <v>644</v>
      </c>
      <c r="K3445" s="135"/>
      <c r="L3445" s="136"/>
      <c r="M3445" s="134">
        <f>IF(L3445="",I3445,(MIN(J3445,(L3445*1.6*J3445))))</f>
        <v>548</v>
      </c>
      <c r="N3445" s="127">
        <f>IF(M3445=0,0,(M3445/J3445))</f>
        <v>0.85093167701863359</v>
      </c>
    </row>
    <row r="3446" spans="2:14">
      <c r="B3446" s="72">
        <v>127631</v>
      </c>
      <c r="C3446" s="74" t="s">
        <v>1492</v>
      </c>
      <c r="D3446" s="133">
        <f>SUMIF(B$3:B$3844,B3446,M$3:M$3844)/(SUMIF(B$3:B$3844,B3446,J$3:J$3844))</f>
        <v>0.72941176470588232</v>
      </c>
      <c r="E3446" s="74">
        <v>35475</v>
      </c>
      <c r="F3446" s="48" t="s">
        <v>1498</v>
      </c>
      <c r="G3446" s="47"/>
      <c r="H3446" s="47"/>
      <c r="I3446" s="40">
        <v>275</v>
      </c>
      <c r="J3446" s="40">
        <v>403</v>
      </c>
      <c r="K3446" s="135"/>
      <c r="L3446" s="136"/>
      <c r="M3446" s="134">
        <f>IF(L3446="",I3446,(MIN(J3446,(L3446*1.6*J3446))))</f>
        <v>275</v>
      </c>
      <c r="N3446" s="127">
        <f>IF(M3446=0,0,(M3446/J3446))</f>
        <v>0.68238213399503722</v>
      </c>
    </row>
    <row r="3447" spans="2:14">
      <c r="B3447" s="72">
        <v>127631</v>
      </c>
      <c r="C3447" s="74" t="s">
        <v>1492</v>
      </c>
      <c r="D3447" s="133">
        <f>SUMIF(B$3:B$3844,B3447,M$3:M$3844)/(SUMIF(B$3:B$3844,B3447,J$3:J$3844))</f>
        <v>0.72941176470588232</v>
      </c>
      <c r="E3447" s="74">
        <v>35473</v>
      </c>
      <c r="F3447" s="48" t="s">
        <v>1499</v>
      </c>
      <c r="G3447" s="47"/>
      <c r="H3447" s="47"/>
      <c r="I3447" s="40">
        <v>238</v>
      </c>
      <c r="J3447" s="40">
        <v>299</v>
      </c>
      <c r="K3447" s="135"/>
      <c r="L3447" s="136"/>
      <c r="M3447" s="134">
        <f>IF(L3447="",I3447,(MIN(J3447,(L3447*1.6*J3447))))</f>
        <v>238</v>
      </c>
      <c r="N3447" s="127">
        <f>IF(M3447=0,0,(M3447/J3447))</f>
        <v>0.79598662207357862</v>
      </c>
    </row>
    <row r="3448" spans="2:14">
      <c r="B3448" s="72">
        <v>127631</v>
      </c>
      <c r="C3448" s="74" t="s">
        <v>1492</v>
      </c>
      <c r="D3448" s="133">
        <f>SUMIF(B$3:B$3844,B3448,M$3:M$3844)/(SUMIF(B$3:B$3844,B3448,J$3:J$3844))</f>
        <v>0.72941176470588232</v>
      </c>
      <c r="E3448" s="74">
        <v>16047719</v>
      </c>
      <c r="F3448" s="48" t="s">
        <v>1500</v>
      </c>
      <c r="G3448" s="47"/>
      <c r="H3448" s="47"/>
      <c r="I3448" s="40"/>
      <c r="J3448" s="40" t="s">
        <v>264</v>
      </c>
      <c r="K3448" s="135"/>
      <c r="L3448" s="136"/>
      <c r="M3448" s="134">
        <f>IF(L3448="",I3448,(MIN(J3448,(L3448*1.6*J3448))))</f>
        <v>0</v>
      </c>
      <c r="N3448" s="127">
        <f>IF(M3448=0,0,(M3448/J3448))</f>
        <v>0</v>
      </c>
    </row>
    <row r="3449" spans="2:14" ht="30">
      <c r="B3449" s="72">
        <v>127631</v>
      </c>
      <c r="C3449" s="74" t="s">
        <v>1492</v>
      </c>
      <c r="D3449" s="133">
        <f>SUMIF(B$3:B$3844,B3449,M$3:M$3844)/(SUMIF(B$3:B$3844,B3449,J$3:J$3844))</f>
        <v>0.72941176470588232</v>
      </c>
      <c r="E3449" s="74">
        <v>16063397</v>
      </c>
      <c r="F3449" s="48" t="s">
        <v>1501</v>
      </c>
      <c r="G3449" s="47"/>
      <c r="H3449" s="47"/>
      <c r="I3449" s="40">
        <v>51</v>
      </c>
      <c r="J3449" s="40">
        <v>57</v>
      </c>
      <c r="K3449" s="135"/>
      <c r="L3449" s="136"/>
      <c r="M3449" s="134">
        <f>IF(L3449="",I3449,(MIN(J3449,(L3449*1.6*J3449))))</f>
        <v>51</v>
      </c>
      <c r="N3449" s="127">
        <f>IF(M3449=0,0,(M3449/J3449))</f>
        <v>0.89473684210526316</v>
      </c>
    </row>
    <row r="3450" spans="2:14">
      <c r="B3450" s="72">
        <v>127631</v>
      </c>
      <c r="C3450" s="74" t="s">
        <v>1492</v>
      </c>
      <c r="D3450" s="133">
        <f>SUMIF(B$3:B$3844,B3450,M$3:M$3844)/(SUMIF(B$3:B$3844,B3450,J$3:J$3844))</f>
        <v>0.72941176470588232</v>
      </c>
      <c r="E3450" s="74">
        <v>35425</v>
      </c>
      <c r="F3450" s="48" t="s">
        <v>1502</v>
      </c>
      <c r="G3450" s="47"/>
      <c r="H3450" s="47"/>
      <c r="I3450" s="40">
        <v>132</v>
      </c>
      <c r="J3450" s="40">
        <v>71</v>
      </c>
      <c r="K3450" s="135"/>
      <c r="L3450" s="136"/>
      <c r="M3450" s="134">
        <f>IF(L3450="",I3450,(MIN(J3450,(L3450*1.6*J3450))))</f>
        <v>132</v>
      </c>
      <c r="N3450" s="127">
        <f>IF(M3450=0,0,(M3450/J3450))</f>
        <v>1.8591549295774648</v>
      </c>
    </row>
    <row r="3451" spans="2:14">
      <c r="B3451" s="72">
        <v>127631</v>
      </c>
      <c r="C3451" s="74" t="s">
        <v>1492</v>
      </c>
      <c r="D3451" s="133">
        <f>SUMIF(B$3:B$3844,B3451,M$3:M$3844)/(SUMIF(B$3:B$3844,B3451,J$3:J$3844))</f>
        <v>0.72941176470588232</v>
      </c>
      <c r="E3451" s="74">
        <v>16072124</v>
      </c>
      <c r="F3451" s="48" t="s">
        <v>1503</v>
      </c>
      <c r="G3451" s="47"/>
      <c r="H3451" s="47"/>
      <c r="I3451" s="40"/>
      <c r="J3451" s="40" t="s">
        <v>264</v>
      </c>
      <c r="K3451" s="135"/>
      <c r="L3451" s="136"/>
      <c r="M3451" s="134">
        <f>IF(L3451="",I3451,(MIN(J3451,(L3451*1.6*J3451))))</f>
        <v>0</v>
      </c>
      <c r="N3451" s="127">
        <f>IF(M3451=0,0,(M3451/J3451))</f>
        <v>0</v>
      </c>
    </row>
    <row r="3452" spans="2:14">
      <c r="C3452" s="9"/>
      <c r="D3452" s="7" t="e">
        <f>SUMIF(B$3:B$3844,B3452,M$3:M$3844)/(SUMIF(B$3:B$3844,B3452,J$3:J$3844))</f>
        <v>#DIV/0!</v>
      </c>
      <c r="E3452" s="10"/>
      <c r="F3452" s="18"/>
      <c r="G3452" s="5"/>
      <c r="H3452" s="5"/>
      <c r="I3452" s="11"/>
      <c r="J3452" s="11"/>
      <c r="K3452" s="38"/>
      <c r="L3452" s="39"/>
      <c r="M3452" s="42">
        <f>IF(L3452="",I3452,(MIN(J3452,(L3452*1.6*J3452))))</f>
        <v>0</v>
      </c>
      <c r="N3452" s="43">
        <f>IF(M3452=0,0,(M3452/J3452))</f>
        <v>0</v>
      </c>
    </row>
    <row r="3453" spans="2:14">
      <c r="C3453" s="9"/>
      <c r="D3453" s="7" t="e">
        <f>SUMIF(B$3:B$3844,B3453,M$3:M$3844)/(SUMIF(B$3:B$3844,B3453,J$3:J$3844))</f>
        <v>#DIV/0!</v>
      </c>
      <c r="E3453" s="10"/>
      <c r="F3453" s="18"/>
      <c r="G3453" s="5"/>
      <c r="H3453" s="5"/>
      <c r="I3453" s="11"/>
      <c r="J3453" s="11"/>
      <c r="K3453" s="38"/>
      <c r="L3453" s="39"/>
      <c r="M3453" s="42">
        <f>IF(L3453="",I3453,(MIN(J3453,(L3453*1.6*J3453))))</f>
        <v>0</v>
      </c>
      <c r="N3453" s="43">
        <f>IF(M3453=0,0,(M3453/J3453))</f>
        <v>0</v>
      </c>
    </row>
    <row r="3454" spans="2:14">
      <c r="C3454" s="9"/>
      <c r="D3454" s="7" t="e">
        <f>SUMIF(B$3:B$3844,B3454,M$3:M$3844)/(SUMIF(B$3:B$3844,B3454,J$3:J$3844))</f>
        <v>#DIV/0!</v>
      </c>
      <c r="E3454" s="10"/>
      <c r="F3454" s="18"/>
      <c r="G3454" s="5"/>
      <c r="H3454" s="5"/>
      <c r="I3454" s="11"/>
      <c r="J3454" s="11"/>
      <c r="K3454" s="38"/>
      <c r="L3454" s="39"/>
      <c r="M3454" s="42">
        <f>IF(L3454="",I3454,(MIN(J3454,(L3454*1.6*J3454))))</f>
        <v>0</v>
      </c>
      <c r="N3454" s="43">
        <f>IF(M3454=0,0,(M3454/J3454))</f>
        <v>0</v>
      </c>
    </row>
    <row r="3455" spans="2:14">
      <c r="C3455" s="9"/>
      <c r="D3455" s="7" t="e">
        <f>SUMIF(B$3:B$3844,B3455,M$3:M$3844)/(SUMIF(B$3:B$3844,B3455,J$3:J$3844))</f>
        <v>#DIV/0!</v>
      </c>
      <c r="E3455" s="10"/>
      <c r="F3455" s="18"/>
      <c r="G3455" s="5"/>
      <c r="H3455" s="5"/>
      <c r="I3455" s="11"/>
      <c r="J3455" s="11"/>
      <c r="K3455" s="38"/>
      <c r="L3455" s="39"/>
      <c r="M3455" s="42">
        <f>IF(L3455="",I3455,(MIN(J3455,(L3455*1.6*J3455))))</f>
        <v>0</v>
      </c>
      <c r="N3455" s="43">
        <f>IF(M3455=0,0,(M3455/J3455))</f>
        <v>0</v>
      </c>
    </row>
    <row r="3456" spans="2:14">
      <c r="C3456" s="9"/>
      <c r="D3456" s="7" t="e">
        <f>SUMIF(B$3:B$3844,B3456,M$3:M$3844)/(SUMIF(B$3:B$3844,B3456,J$3:J$3844))</f>
        <v>#DIV/0!</v>
      </c>
      <c r="E3456" s="10"/>
      <c r="F3456" s="18"/>
      <c r="G3456" s="5"/>
      <c r="H3456" s="5"/>
      <c r="I3456" s="11"/>
      <c r="J3456" s="11"/>
      <c r="K3456" s="38"/>
      <c r="L3456" s="39"/>
      <c r="M3456" s="42">
        <f>IF(L3456="",I3456,(MIN(J3456,(L3456*1.6*J3456))))</f>
        <v>0</v>
      </c>
      <c r="N3456" s="43">
        <f>IF(M3456=0,0,(M3456/J3456))</f>
        <v>0</v>
      </c>
    </row>
    <row r="3457" spans="3:14">
      <c r="C3457" s="9"/>
      <c r="D3457" s="7" t="e">
        <f>SUMIF(B$3:B$3844,B3457,M$3:M$3844)/(SUMIF(B$3:B$3844,B3457,J$3:J$3844))</f>
        <v>#DIV/0!</v>
      </c>
      <c r="E3457" s="10"/>
      <c r="F3457" s="18"/>
      <c r="G3457" s="5"/>
      <c r="H3457" s="5"/>
      <c r="I3457" s="11"/>
      <c r="J3457" s="11"/>
      <c r="K3457" s="38"/>
      <c r="L3457" s="39"/>
      <c r="M3457" s="42">
        <f>IF(L3457="",I3457,(MIN(J3457,(L3457*1.6*J3457))))</f>
        <v>0</v>
      </c>
      <c r="N3457" s="43">
        <f>IF(M3457=0,0,(M3457/J3457))</f>
        <v>0</v>
      </c>
    </row>
    <row r="3458" spans="3:14">
      <c r="C3458" s="9"/>
      <c r="D3458" s="7" t="e">
        <f>SUMIF(B$3:B$3844,B3458,M$3:M$3844)/(SUMIF(B$3:B$3844,B3458,J$3:J$3844))</f>
        <v>#DIV/0!</v>
      </c>
      <c r="E3458" s="10"/>
      <c r="F3458" s="18"/>
      <c r="G3458" s="5"/>
      <c r="H3458" s="5"/>
      <c r="I3458" s="11"/>
      <c r="J3458" s="11"/>
      <c r="K3458" s="38"/>
      <c r="L3458" s="39"/>
      <c r="M3458" s="42">
        <f>IF(L3458="",I3458,(MIN(J3458,(L3458*1.6*J3458))))</f>
        <v>0</v>
      </c>
      <c r="N3458" s="43">
        <f>IF(M3458=0,0,(M3458/J3458))</f>
        <v>0</v>
      </c>
    </row>
    <row r="3459" spans="3:14">
      <c r="C3459" s="9"/>
      <c r="D3459" s="7" t="e">
        <f>SUMIF(B$3:B$3844,B3459,M$3:M$3844)/(SUMIF(B$3:B$3844,B3459,J$3:J$3844))</f>
        <v>#DIV/0!</v>
      </c>
      <c r="E3459" s="10"/>
      <c r="F3459" s="18"/>
      <c r="G3459" s="5"/>
      <c r="H3459" s="5"/>
      <c r="I3459" s="11"/>
      <c r="J3459" s="11"/>
      <c r="K3459" s="38"/>
      <c r="L3459" s="39"/>
      <c r="M3459" s="42">
        <f>IF(L3459="",I3459,(MIN(J3459,(L3459*1.6*J3459))))</f>
        <v>0</v>
      </c>
      <c r="N3459" s="43">
        <f>IF(M3459=0,0,(M3459/J3459))</f>
        <v>0</v>
      </c>
    </row>
    <row r="3460" spans="3:14">
      <c r="C3460" s="9"/>
      <c r="D3460" s="7" t="e">
        <f>SUMIF(B$3:B$3844,B3460,M$3:M$3844)/(SUMIF(B$3:B$3844,B3460,J$3:J$3844))</f>
        <v>#DIV/0!</v>
      </c>
      <c r="E3460" s="10"/>
      <c r="F3460" s="18"/>
      <c r="G3460" s="5"/>
      <c r="H3460" s="5"/>
      <c r="I3460" s="11"/>
      <c r="J3460" s="11"/>
      <c r="K3460" s="38"/>
      <c r="L3460" s="39"/>
      <c r="M3460" s="42">
        <f>IF(L3460="",I3460,(MIN(J3460,(L3460*1.6*J3460))))</f>
        <v>0</v>
      </c>
      <c r="N3460" s="43">
        <f>IF(M3460=0,0,(M3460/J3460))</f>
        <v>0</v>
      </c>
    </row>
    <row r="3461" spans="3:14">
      <c r="C3461" s="9"/>
      <c r="D3461" s="7" t="e">
        <f>SUMIF(B$3:B$3844,B3461,M$3:M$3844)/(SUMIF(B$3:B$3844,B3461,J$3:J$3844))</f>
        <v>#DIV/0!</v>
      </c>
      <c r="E3461" s="10"/>
      <c r="F3461" s="18"/>
      <c r="G3461" s="5"/>
      <c r="H3461" s="5"/>
      <c r="I3461" s="11"/>
      <c r="J3461" s="11"/>
      <c r="K3461" s="38"/>
      <c r="L3461" s="39"/>
      <c r="M3461" s="42">
        <f>IF(L3461="",I3461,(MIN(J3461,(L3461*1.6*J3461))))</f>
        <v>0</v>
      </c>
      <c r="N3461" s="43">
        <f>IF(M3461=0,0,(M3461/J3461))</f>
        <v>0</v>
      </c>
    </row>
    <row r="3462" spans="3:14">
      <c r="C3462" s="9"/>
      <c r="D3462" s="7" t="e">
        <f>SUMIF(B$3:B$3844,B3462,M$3:M$3844)/(SUMIF(B$3:B$3844,B3462,J$3:J$3844))</f>
        <v>#DIV/0!</v>
      </c>
      <c r="E3462" s="10"/>
      <c r="F3462" s="18"/>
      <c r="G3462" s="5"/>
      <c r="H3462" s="5"/>
      <c r="I3462" s="11"/>
      <c r="J3462" s="11"/>
      <c r="K3462" s="38"/>
      <c r="L3462" s="39"/>
      <c r="M3462" s="42">
        <f>IF(L3462="",I3462,(MIN(J3462,(L3462*1.6*J3462))))</f>
        <v>0</v>
      </c>
      <c r="N3462" s="43">
        <f>IF(M3462=0,0,(M3462/J3462))</f>
        <v>0</v>
      </c>
    </row>
    <row r="3463" spans="3:14">
      <c r="C3463" s="9"/>
      <c r="D3463" s="7" t="e">
        <f>SUMIF(B$3:B$3844,B3463,M$3:M$3844)/(SUMIF(B$3:B$3844,B3463,J$3:J$3844))</f>
        <v>#DIV/0!</v>
      </c>
      <c r="E3463" s="10"/>
      <c r="F3463" s="18"/>
      <c r="G3463" s="5"/>
      <c r="H3463" s="5"/>
      <c r="I3463" s="11"/>
      <c r="J3463" s="11"/>
      <c r="K3463" s="38"/>
      <c r="L3463" s="39"/>
      <c r="M3463" s="42">
        <f>IF(L3463="",I3463,(MIN(J3463,(L3463*1.6*J3463))))</f>
        <v>0</v>
      </c>
      <c r="N3463" s="43">
        <f>IF(M3463=0,0,(M3463/J3463))</f>
        <v>0</v>
      </c>
    </row>
    <row r="3464" spans="3:14">
      <c r="C3464" s="9"/>
      <c r="D3464" s="7" t="e">
        <f>SUMIF(B$3:B$3844,B3464,M$3:M$3844)/(SUMIF(B$3:B$3844,B3464,J$3:J$3844))</f>
        <v>#DIV/0!</v>
      </c>
      <c r="E3464" s="10"/>
      <c r="F3464" s="18"/>
      <c r="G3464" s="5"/>
      <c r="H3464" s="5"/>
      <c r="I3464" s="11"/>
      <c r="J3464" s="11"/>
      <c r="K3464" s="38"/>
      <c r="L3464" s="39"/>
      <c r="M3464" s="42">
        <f>IF(L3464="",I3464,(MIN(J3464,(L3464*1.6*J3464))))</f>
        <v>0</v>
      </c>
      <c r="N3464" s="43">
        <f>IF(M3464=0,0,(M3464/J3464))</f>
        <v>0</v>
      </c>
    </row>
    <row r="3465" spans="3:14">
      <c r="C3465" s="9"/>
      <c r="D3465" s="7" t="e">
        <f>SUMIF(B$3:B$3844,B3465,M$3:M$3844)/(SUMIF(B$3:B$3844,B3465,J$3:J$3844))</f>
        <v>#DIV/0!</v>
      </c>
      <c r="E3465" s="10"/>
      <c r="F3465" s="18"/>
      <c r="G3465" s="5"/>
      <c r="H3465" s="5"/>
      <c r="I3465" s="11"/>
      <c r="J3465" s="11"/>
      <c r="K3465" s="38"/>
      <c r="L3465" s="39"/>
      <c r="M3465" s="42">
        <f>IF(L3465="",I3465,(MIN(J3465,(L3465*1.6*J3465))))</f>
        <v>0</v>
      </c>
      <c r="N3465" s="43">
        <f>IF(M3465=0,0,(M3465/J3465))</f>
        <v>0</v>
      </c>
    </row>
    <row r="3466" spans="3:14">
      <c r="C3466" s="9"/>
      <c r="D3466" s="7" t="e">
        <f>SUMIF(B$3:B$3844,B3466,M$3:M$3844)/(SUMIF(B$3:B$3844,B3466,J$3:J$3844))</f>
        <v>#DIV/0!</v>
      </c>
      <c r="E3466" s="10"/>
      <c r="F3466" s="18"/>
      <c r="G3466" s="5"/>
      <c r="H3466" s="5"/>
      <c r="I3466" s="11"/>
      <c r="J3466" s="11"/>
      <c r="K3466" s="38"/>
      <c r="L3466" s="39"/>
      <c r="M3466" s="42">
        <f>IF(L3466="",I3466,(MIN(J3466,(L3466*1.6*J3466))))</f>
        <v>0</v>
      </c>
      <c r="N3466" s="43">
        <f>IF(M3466=0,0,(M3466/J3466))</f>
        <v>0</v>
      </c>
    </row>
    <row r="3467" spans="3:14">
      <c r="C3467" s="9"/>
      <c r="D3467" s="7" t="e">
        <f>SUMIF(B$3:B$3844,B3467,M$3:M$3844)/(SUMIF(B$3:B$3844,B3467,J$3:J$3844))</f>
        <v>#DIV/0!</v>
      </c>
      <c r="E3467" s="10"/>
      <c r="F3467" s="18"/>
      <c r="G3467" s="5"/>
      <c r="H3467" s="5"/>
      <c r="I3467" s="11"/>
      <c r="J3467" s="11"/>
      <c r="K3467" s="38"/>
      <c r="L3467" s="39"/>
      <c r="M3467" s="42">
        <f>IF(L3467="",I3467,(MIN(J3467,(L3467*1.6*J3467))))</f>
        <v>0</v>
      </c>
      <c r="N3467" s="43">
        <f>IF(M3467=0,0,(M3467/J3467))</f>
        <v>0</v>
      </c>
    </row>
    <row r="3468" spans="3:14">
      <c r="C3468" s="9"/>
      <c r="D3468" s="7" t="e">
        <f>SUMIF(B$3:B$3844,B3468,M$3:M$3844)/(SUMIF(B$3:B$3844,B3468,J$3:J$3844))</f>
        <v>#DIV/0!</v>
      </c>
      <c r="E3468" s="10"/>
      <c r="F3468" s="18"/>
      <c r="G3468" s="5"/>
      <c r="H3468" s="5"/>
      <c r="I3468" s="11"/>
      <c r="J3468" s="11"/>
      <c r="K3468" s="38"/>
      <c r="L3468" s="39"/>
      <c r="M3468" s="42">
        <f>IF(L3468="",I3468,(MIN(J3468,(L3468*1.6*J3468))))</f>
        <v>0</v>
      </c>
      <c r="N3468" s="43">
        <f>IF(M3468=0,0,(M3468/J3468))</f>
        <v>0</v>
      </c>
    </row>
    <row r="3469" spans="3:14">
      <c r="C3469" s="9"/>
      <c r="D3469" s="7" t="e">
        <f>SUMIF(B$3:B$3844,B3469,M$3:M$3844)/(SUMIF(B$3:B$3844,B3469,J$3:J$3844))</f>
        <v>#DIV/0!</v>
      </c>
      <c r="E3469" s="10"/>
      <c r="F3469" s="18"/>
      <c r="G3469" s="5"/>
      <c r="H3469" s="5"/>
      <c r="I3469" s="11"/>
      <c r="J3469" s="11"/>
      <c r="K3469" s="38"/>
      <c r="L3469" s="39"/>
      <c r="M3469" s="42">
        <f>IF(L3469="",I3469,(MIN(J3469,(L3469*1.6*J3469))))</f>
        <v>0</v>
      </c>
      <c r="N3469" s="43">
        <f>IF(M3469=0,0,(M3469/J3469))</f>
        <v>0</v>
      </c>
    </row>
    <row r="3470" spans="3:14">
      <c r="C3470" s="9"/>
      <c r="D3470" s="7" t="e">
        <f>SUMIF(B$3:B$3844,B3470,M$3:M$3844)/(SUMIF(B$3:B$3844,B3470,J$3:J$3844))</f>
        <v>#DIV/0!</v>
      </c>
      <c r="E3470" s="10"/>
      <c r="F3470" s="18"/>
      <c r="G3470" s="5"/>
      <c r="H3470" s="5"/>
      <c r="I3470" s="11"/>
      <c r="J3470" s="11"/>
      <c r="K3470" s="38"/>
      <c r="L3470" s="39"/>
      <c r="M3470" s="42">
        <f>IF(L3470="",I3470,(MIN(J3470,(L3470*1.6*J3470))))</f>
        <v>0</v>
      </c>
      <c r="N3470" s="43">
        <f>IF(M3470=0,0,(M3470/J3470))</f>
        <v>0</v>
      </c>
    </row>
    <row r="3471" spans="3:14">
      <c r="C3471" s="9"/>
      <c r="D3471" s="7" t="e">
        <f>SUMIF(B$3:B$3844,B3471,M$3:M$3844)/(SUMIF(B$3:B$3844,B3471,J$3:J$3844))</f>
        <v>#DIV/0!</v>
      </c>
      <c r="E3471" s="10"/>
      <c r="F3471" s="18"/>
      <c r="G3471" s="5"/>
      <c r="H3471" s="5"/>
      <c r="I3471" s="11"/>
      <c r="J3471" s="11"/>
      <c r="K3471" s="38"/>
      <c r="L3471" s="39"/>
      <c r="M3471" s="42">
        <f>IF(L3471="",I3471,(MIN(J3471,(L3471*1.6*J3471))))</f>
        <v>0</v>
      </c>
      <c r="N3471" s="43">
        <f>IF(M3471=0,0,(M3471/J3471))</f>
        <v>0</v>
      </c>
    </row>
    <row r="3472" spans="3:14">
      <c r="C3472" s="9"/>
      <c r="D3472" s="7" t="e">
        <f>SUMIF(B$3:B$3844,B3472,M$3:M$3844)/(SUMIF(B$3:B$3844,B3472,J$3:J$3844))</f>
        <v>#DIV/0!</v>
      </c>
      <c r="E3472" s="10"/>
      <c r="F3472" s="18"/>
      <c r="G3472" s="5"/>
      <c r="H3472" s="5"/>
      <c r="I3472" s="11"/>
      <c r="J3472" s="11"/>
      <c r="K3472" s="38"/>
      <c r="L3472" s="39"/>
      <c r="M3472" s="42">
        <f>IF(L3472="",I3472,(MIN(J3472,(L3472*1.6*J3472))))</f>
        <v>0</v>
      </c>
      <c r="N3472" s="43">
        <f>IF(M3472=0,0,(M3472/J3472))</f>
        <v>0</v>
      </c>
    </row>
    <row r="3473" spans="3:14">
      <c r="C3473" s="9"/>
      <c r="D3473" s="7" t="e">
        <f>SUMIF(B$3:B$3844,B3473,M$3:M$3844)/(SUMIF(B$3:B$3844,B3473,J$3:J$3844))</f>
        <v>#DIV/0!</v>
      </c>
      <c r="E3473" s="10"/>
      <c r="F3473" s="18"/>
      <c r="G3473" s="5"/>
      <c r="H3473" s="5"/>
      <c r="I3473" s="11"/>
      <c r="J3473" s="11"/>
      <c r="K3473" s="38"/>
      <c r="L3473" s="39"/>
      <c r="M3473" s="42">
        <f>IF(L3473="",I3473,(MIN(J3473,(L3473*1.6*J3473))))</f>
        <v>0</v>
      </c>
      <c r="N3473" s="43">
        <f>IF(M3473=0,0,(M3473/J3473))</f>
        <v>0</v>
      </c>
    </row>
    <row r="3474" spans="3:14">
      <c r="C3474" s="9"/>
      <c r="D3474" s="7" t="e">
        <f>SUMIF(B$3:B$3844,B3474,M$3:M$3844)/(SUMIF(B$3:B$3844,B3474,J$3:J$3844))</f>
        <v>#DIV/0!</v>
      </c>
      <c r="E3474" s="10"/>
      <c r="F3474" s="18"/>
      <c r="G3474" s="5"/>
      <c r="H3474" s="5"/>
      <c r="I3474" s="11"/>
      <c r="J3474" s="11"/>
      <c r="K3474" s="38"/>
      <c r="L3474" s="39"/>
      <c r="M3474" s="42">
        <f>IF(L3474="",I3474,(MIN(J3474,(L3474*1.6*J3474))))</f>
        <v>0</v>
      </c>
      <c r="N3474" s="43">
        <f>IF(M3474=0,0,(M3474/J3474))</f>
        <v>0</v>
      </c>
    </row>
    <row r="3475" spans="3:14">
      <c r="C3475" s="9"/>
      <c r="D3475" s="7" t="e">
        <f>SUMIF(B$3:B$3844,B3475,M$3:M$3844)/(SUMIF(B$3:B$3844,B3475,J$3:J$3844))</f>
        <v>#DIV/0!</v>
      </c>
      <c r="E3475" s="10"/>
      <c r="F3475" s="18"/>
      <c r="G3475" s="5"/>
      <c r="H3475" s="5"/>
      <c r="I3475" s="11"/>
      <c r="J3475" s="11"/>
      <c r="K3475" s="38"/>
      <c r="L3475" s="39"/>
      <c r="M3475" s="42">
        <f>IF(L3475="",I3475,(MIN(J3475,(L3475*1.6*J3475))))</f>
        <v>0</v>
      </c>
      <c r="N3475" s="43">
        <f>IF(M3475=0,0,(M3475/J3475))</f>
        <v>0</v>
      </c>
    </row>
    <row r="3476" spans="3:14">
      <c r="C3476" s="9"/>
      <c r="D3476" s="7" t="e">
        <f>SUMIF(B$3:B$3844,B3476,M$3:M$3844)/(SUMIF(B$3:B$3844,B3476,J$3:J$3844))</f>
        <v>#DIV/0!</v>
      </c>
      <c r="E3476" s="10"/>
      <c r="F3476" s="18"/>
      <c r="G3476" s="5"/>
      <c r="H3476" s="5"/>
      <c r="I3476" s="11"/>
      <c r="J3476" s="11"/>
      <c r="K3476" s="38"/>
      <c r="L3476" s="39"/>
      <c r="M3476" s="42">
        <f>IF(L3476="",I3476,(MIN(J3476,(L3476*1.6*J3476))))</f>
        <v>0</v>
      </c>
      <c r="N3476" s="43">
        <f>IF(M3476=0,0,(M3476/J3476))</f>
        <v>0</v>
      </c>
    </row>
    <row r="3477" spans="3:14">
      <c r="C3477" s="9"/>
      <c r="D3477" s="7" t="e">
        <f>SUMIF(B$3:B$3844,B3477,M$3:M$3844)/(SUMIF(B$3:B$3844,B3477,J$3:J$3844))</f>
        <v>#DIV/0!</v>
      </c>
      <c r="E3477" s="10"/>
      <c r="F3477" s="18"/>
      <c r="G3477" s="5"/>
      <c r="H3477" s="5"/>
      <c r="I3477" s="11"/>
      <c r="J3477" s="11"/>
      <c r="K3477" s="38"/>
      <c r="L3477" s="39"/>
      <c r="M3477" s="42">
        <f>IF(L3477="",I3477,(MIN(J3477,(L3477*1.6*J3477))))</f>
        <v>0</v>
      </c>
      <c r="N3477" s="43">
        <f>IF(M3477=0,0,(M3477/J3477))</f>
        <v>0</v>
      </c>
    </row>
    <row r="3478" spans="3:14">
      <c r="C3478" s="9"/>
      <c r="D3478" s="7" t="e">
        <f>SUMIF(B$3:B$3844,B3478,M$3:M$3844)/(SUMIF(B$3:B$3844,B3478,J$3:J$3844))</f>
        <v>#DIV/0!</v>
      </c>
      <c r="E3478" s="10"/>
      <c r="F3478" s="18"/>
      <c r="G3478" s="5"/>
      <c r="H3478" s="5"/>
      <c r="I3478" s="11"/>
      <c r="J3478" s="11"/>
      <c r="K3478" s="38"/>
      <c r="L3478" s="39"/>
      <c r="M3478" s="42">
        <f>IF(L3478="",I3478,(MIN(J3478,(L3478*1.6*J3478))))</f>
        <v>0</v>
      </c>
      <c r="N3478" s="43">
        <f>IF(M3478=0,0,(M3478/J3478))</f>
        <v>0</v>
      </c>
    </row>
    <row r="3479" spans="3:14">
      <c r="C3479" s="9"/>
      <c r="D3479" s="7" t="e">
        <f>SUMIF(B$3:B$3844,B3479,M$3:M$3844)/(SUMIF(B$3:B$3844,B3479,J$3:J$3844))</f>
        <v>#DIV/0!</v>
      </c>
      <c r="E3479" s="10"/>
      <c r="F3479" s="18"/>
      <c r="G3479" s="5"/>
      <c r="H3479" s="5"/>
      <c r="I3479" s="11"/>
      <c r="J3479" s="11"/>
      <c r="K3479" s="38"/>
      <c r="L3479" s="39"/>
      <c r="M3479" s="42">
        <f>IF(L3479="",I3479,(MIN(J3479,(L3479*1.6*J3479))))</f>
        <v>0</v>
      </c>
      <c r="N3479" s="43">
        <f>IF(M3479=0,0,(M3479/J3479))</f>
        <v>0</v>
      </c>
    </row>
    <row r="3480" spans="3:14">
      <c r="C3480" s="9"/>
      <c r="D3480" s="7" t="e">
        <f>SUMIF(B$3:B$3844,B3480,M$3:M$3844)/(SUMIF(B$3:B$3844,B3480,J$3:J$3844))</f>
        <v>#DIV/0!</v>
      </c>
      <c r="E3480" s="10"/>
      <c r="F3480" s="18"/>
      <c r="G3480" s="5"/>
      <c r="H3480" s="5"/>
      <c r="I3480" s="11"/>
      <c r="J3480" s="11"/>
      <c r="K3480" s="38"/>
      <c r="L3480" s="39"/>
      <c r="M3480" s="42">
        <f>IF(L3480="",I3480,(MIN(J3480,(L3480*1.6*J3480))))</f>
        <v>0</v>
      </c>
      <c r="N3480" s="43">
        <f>IF(M3480=0,0,(M3480/J3480))</f>
        <v>0</v>
      </c>
    </row>
    <row r="3481" spans="3:14">
      <c r="C3481" s="9"/>
      <c r="D3481" s="7" t="e">
        <f>SUMIF(B$3:B$3844,B3481,M$3:M$3844)/(SUMIF(B$3:B$3844,B3481,J$3:J$3844))</f>
        <v>#DIV/0!</v>
      </c>
      <c r="E3481" s="10"/>
      <c r="F3481" s="18"/>
      <c r="G3481" s="5"/>
      <c r="H3481" s="5"/>
      <c r="I3481" s="11"/>
      <c r="J3481" s="11"/>
      <c r="K3481" s="38"/>
      <c r="L3481" s="39"/>
      <c r="M3481" s="42">
        <f>IF(L3481="",I3481,(MIN(J3481,(L3481*1.6*J3481))))</f>
        <v>0</v>
      </c>
      <c r="N3481" s="43">
        <f>IF(M3481=0,0,(M3481/J3481))</f>
        <v>0</v>
      </c>
    </row>
    <row r="3482" spans="3:14">
      <c r="C3482" s="9"/>
      <c r="D3482" s="7" t="e">
        <f>SUMIF(B$3:B$3844,B3482,M$3:M$3844)/(SUMIF(B$3:B$3844,B3482,J$3:J$3844))</f>
        <v>#DIV/0!</v>
      </c>
      <c r="E3482" s="10"/>
      <c r="F3482" s="18"/>
      <c r="G3482" s="5"/>
      <c r="H3482" s="5"/>
      <c r="I3482" s="11"/>
      <c r="J3482" s="11"/>
      <c r="K3482" s="38"/>
      <c r="L3482" s="39"/>
      <c r="M3482" s="42">
        <f>IF(L3482="",I3482,(MIN(J3482,(L3482*1.6*J3482))))</f>
        <v>0</v>
      </c>
      <c r="N3482" s="43">
        <f>IF(M3482=0,0,(M3482/J3482))</f>
        <v>0</v>
      </c>
    </row>
    <row r="3483" spans="3:14">
      <c r="C3483" s="9"/>
      <c r="D3483" s="7" t="e">
        <f>SUMIF(B$3:B$3844,B3483,M$3:M$3844)/(SUMIF(B$3:B$3844,B3483,J$3:J$3844))</f>
        <v>#DIV/0!</v>
      </c>
      <c r="E3483" s="10"/>
      <c r="F3483" s="18"/>
      <c r="G3483" s="5"/>
      <c r="H3483" s="5"/>
      <c r="I3483" s="11"/>
      <c r="J3483" s="11"/>
      <c r="K3483" s="38"/>
      <c r="L3483" s="39"/>
      <c r="M3483" s="42">
        <f>IF(L3483="",I3483,(MIN(J3483,(L3483*1.6*J3483))))</f>
        <v>0</v>
      </c>
      <c r="N3483" s="43">
        <f>IF(M3483=0,0,(M3483/J3483))</f>
        <v>0</v>
      </c>
    </row>
    <row r="3484" spans="3:14">
      <c r="C3484" s="9"/>
      <c r="D3484" s="7" t="e">
        <f>SUMIF(B$3:B$3844,B3484,M$3:M$3844)/(SUMIF(B$3:B$3844,B3484,J$3:J$3844))</f>
        <v>#DIV/0!</v>
      </c>
      <c r="E3484" s="10"/>
      <c r="F3484" s="18"/>
      <c r="G3484" s="5"/>
      <c r="H3484" s="5"/>
      <c r="I3484" s="11"/>
      <c r="J3484" s="11"/>
      <c r="K3484" s="38"/>
      <c r="L3484" s="39"/>
      <c r="M3484" s="42">
        <f>IF(L3484="",I3484,(MIN(J3484,(L3484*1.6*J3484))))</f>
        <v>0</v>
      </c>
      <c r="N3484" s="43">
        <f>IF(M3484=0,0,(M3484/J3484))</f>
        <v>0</v>
      </c>
    </row>
    <row r="3485" spans="3:14">
      <c r="C3485" s="9"/>
      <c r="D3485" s="7" t="e">
        <f>SUMIF(B$3:B$3844,B3485,M$3:M$3844)/(SUMIF(B$3:B$3844,B3485,J$3:J$3844))</f>
        <v>#DIV/0!</v>
      </c>
      <c r="E3485" s="10"/>
      <c r="F3485" s="18"/>
      <c r="G3485" s="5"/>
      <c r="H3485" s="5"/>
      <c r="I3485" s="11"/>
      <c r="J3485" s="11"/>
      <c r="K3485" s="38"/>
      <c r="L3485" s="39"/>
      <c r="M3485" s="42">
        <f>IF(L3485="",I3485,(MIN(J3485,(L3485*1.6*J3485))))</f>
        <v>0</v>
      </c>
      <c r="N3485" s="43">
        <f>IF(M3485=0,0,(M3485/J3485))</f>
        <v>0</v>
      </c>
    </row>
    <row r="3486" spans="3:14">
      <c r="C3486" s="9"/>
      <c r="D3486" s="7" t="e">
        <f>SUMIF(B$3:B$3844,B3486,M$3:M$3844)/(SUMIF(B$3:B$3844,B3486,J$3:J$3844))</f>
        <v>#DIV/0!</v>
      </c>
      <c r="E3486" s="10"/>
      <c r="F3486" s="18"/>
      <c r="G3486" s="5"/>
      <c r="H3486" s="5"/>
      <c r="I3486" s="11"/>
      <c r="J3486" s="11"/>
      <c r="K3486" s="38"/>
      <c r="L3486" s="39"/>
      <c r="M3486" s="42">
        <f>IF(L3486="",I3486,(MIN(J3486,(L3486*1.6*J3486))))</f>
        <v>0</v>
      </c>
      <c r="N3486" s="43">
        <f>IF(M3486=0,0,(M3486/J3486))</f>
        <v>0</v>
      </c>
    </row>
    <row r="3487" spans="3:14">
      <c r="C3487" s="9"/>
      <c r="D3487" s="7" t="e">
        <f>SUMIF(B$3:B$3844,B3487,M$3:M$3844)/(SUMIF(B$3:B$3844,B3487,J$3:J$3844))</f>
        <v>#DIV/0!</v>
      </c>
      <c r="E3487" s="10"/>
      <c r="F3487" s="18"/>
      <c r="G3487" s="5"/>
      <c r="H3487" s="5"/>
      <c r="I3487" s="11"/>
      <c r="J3487" s="11"/>
      <c r="K3487" s="38"/>
      <c r="L3487" s="39"/>
      <c r="M3487" s="42">
        <f>IF(L3487="",I3487,(MIN(J3487,(L3487*1.6*J3487))))</f>
        <v>0</v>
      </c>
      <c r="N3487" s="43">
        <f>IF(M3487=0,0,(M3487/J3487))</f>
        <v>0</v>
      </c>
    </row>
    <row r="3488" spans="3:14">
      <c r="C3488" s="9"/>
      <c r="D3488" s="7" t="e">
        <f>SUMIF(B$3:B$3844,B3488,M$3:M$3844)/(SUMIF(B$3:B$3844,B3488,J$3:J$3844))</f>
        <v>#DIV/0!</v>
      </c>
      <c r="E3488" s="10"/>
      <c r="F3488" s="18"/>
      <c r="G3488" s="5"/>
      <c r="H3488" s="5"/>
      <c r="I3488" s="11"/>
      <c r="J3488" s="11"/>
      <c r="K3488" s="38"/>
      <c r="L3488" s="39"/>
      <c r="M3488" s="42">
        <f>IF(L3488="",I3488,(MIN(J3488,(L3488*1.6*J3488))))</f>
        <v>0</v>
      </c>
      <c r="N3488" s="43">
        <f>IF(M3488=0,0,(M3488/J3488))</f>
        <v>0</v>
      </c>
    </row>
    <row r="3489" spans="3:14">
      <c r="C3489" s="9"/>
      <c r="D3489" s="7" t="e">
        <f>SUMIF(B$3:B$3844,B3489,M$3:M$3844)/(SUMIF(B$3:B$3844,B3489,J$3:J$3844))</f>
        <v>#DIV/0!</v>
      </c>
      <c r="E3489" s="10"/>
      <c r="F3489" s="18"/>
      <c r="G3489" s="5"/>
      <c r="H3489" s="5"/>
      <c r="I3489" s="11"/>
      <c r="J3489" s="11"/>
      <c r="K3489" s="38"/>
      <c r="L3489" s="39"/>
      <c r="M3489" s="42">
        <f>IF(L3489="",I3489,(MIN(J3489,(L3489*1.6*J3489))))</f>
        <v>0</v>
      </c>
      <c r="N3489" s="43">
        <f>IF(M3489=0,0,(M3489/J3489))</f>
        <v>0</v>
      </c>
    </row>
    <row r="3490" spans="3:14">
      <c r="C3490" s="9"/>
      <c r="D3490" s="7" t="e">
        <f>SUMIF(B$3:B$3844,B3490,M$3:M$3844)/(SUMIF(B$3:B$3844,B3490,J$3:J$3844))</f>
        <v>#DIV/0!</v>
      </c>
      <c r="E3490" s="10"/>
      <c r="F3490" s="18"/>
      <c r="G3490" s="5"/>
      <c r="H3490" s="5"/>
      <c r="I3490" s="11"/>
      <c r="J3490" s="11"/>
      <c r="K3490" s="38"/>
      <c r="L3490" s="39"/>
      <c r="M3490" s="42">
        <f>IF(L3490="",I3490,(MIN(J3490,(L3490*1.6*J3490))))</f>
        <v>0</v>
      </c>
      <c r="N3490" s="43">
        <f>IF(M3490=0,0,(M3490/J3490))</f>
        <v>0</v>
      </c>
    </row>
    <row r="3491" spans="3:14">
      <c r="C3491" s="9"/>
      <c r="D3491" s="7" t="e">
        <f>SUMIF(B$3:B$3844,B3491,M$3:M$3844)/(SUMIF(B$3:B$3844,B3491,J$3:J$3844))</f>
        <v>#DIV/0!</v>
      </c>
      <c r="E3491" s="10"/>
      <c r="F3491" s="18"/>
      <c r="G3491" s="5"/>
      <c r="H3491" s="5"/>
      <c r="I3491" s="11"/>
      <c r="J3491" s="11"/>
      <c r="K3491" s="38"/>
      <c r="L3491" s="39"/>
      <c r="M3491" s="42">
        <f>IF(L3491="",I3491,(MIN(J3491,(L3491*1.6*J3491))))</f>
        <v>0</v>
      </c>
      <c r="N3491" s="43">
        <f>IF(M3491=0,0,(M3491/J3491))</f>
        <v>0</v>
      </c>
    </row>
    <row r="3492" spans="3:14">
      <c r="C3492" s="9"/>
      <c r="D3492" s="7" t="e">
        <f>SUMIF(B$3:B$3844,B3492,M$3:M$3844)/(SUMIF(B$3:B$3844,B3492,J$3:J$3844))</f>
        <v>#DIV/0!</v>
      </c>
      <c r="E3492" s="10"/>
      <c r="F3492" s="18"/>
      <c r="G3492" s="5"/>
      <c r="H3492" s="5"/>
      <c r="I3492" s="11"/>
      <c r="J3492" s="11"/>
      <c r="K3492" s="38"/>
      <c r="L3492" s="39"/>
      <c r="M3492" s="42">
        <f>IF(L3492="",I3492,(MIN(J3492,(L3492*1.6*J3492))))</f>
        <v>0</v>
      </c>
      <c r="N3492" s="43">
        <f>IF(M3492=0,0,(M3492/J3492))</f>
        <v>0</v>
      </c>
    </row>
    <row r="3493" spans="3:14">
      <c r="C3493" s="9"/>
      <c r="D3493" s="7" t="e">
        <f>SUMIF(B$3:B$3844,B3493,M$3:M$3844)/(SUMIF(B$3:B$3844,B3493,J$3:J$3844))</f>
        <v>#DIV/0!</v>
      </c>
      <c r="E3493" s="10"/>
      <c r="F3493" s="18"/>
      <c r="G3493" s="5"/>
      <c r="H3493" s="5"/>
      <c r="I3493" s="11"/>
      <c r="J3493" s="11"/>
      <c r="K3493" s="38"/>
      <c r="L3493" s="39"/>
      <c r="M3493" s="42">
        <f>IF(L3493="",I3493,(MIN(J3493,(L3493*1.6*J3493))))</f>
        <v>0</v>
      </c>
      <c r="N3493" s="43">
        <f>IF(M3493=0,0,(M3493/J3493))</f>
        <v>0</v>
      </c>
    </row>
    <row r="3494" spans="3:14">
      <c r="C3494" s="9"/>
      <c r="D3494" s="7" t="e">
        <f>SUMIF(B$3:B$3844,B3494,M$3:M$3844)/(SUMIF(B$3:B$3844,B3494,J$3:J$3844))</f>
        <v>#DIV/0!</v>
      </c>
      <c r="E3494" s="10"/>
      <c r="F3494" s="18"/>
      <c r="G3494" s="5"/>
      <c r="H3494" s="5"/>
      <c r="I3494" s="11"/>
      <c r="J3494" s="11"/>
      <c r="K3494" s="38"/>
      <c r="L3494" s="39"/>
      <c r="M3494" s="42">
        <f>IF(L3494="",I3494,(MIN(J3494,(L3494*1.6*J3494))))</f>
        <v>0</v>
      </c>
      <c r="N3494" s="43">
        <f>IF(M3494=0,0,(M3494/J3494))</f>
        <v>0</v>
      </c>
    </row>
    <row r="3495" spans="3:14">
      <c r="C3495" s="9"/>
      <c r="D3495" s="7" t="e">
        <f>SUMIF(B$3:B$3844,B3495,M$3:M$3844)/(SUMIF(B$3:B$3844,B3495,J$3:J$3844))</f>
        <v>#DIV/0!</v>
      </c>
      <c r="E3495" s="10"/>
      <c r="F3495" s="18"/>
      <c r="G3495" s="5"/>
      <c r="H3495" s="5"/>
      <c r="I3495" s="11"/>
      <c r="J3495" s="11"/>
      <c r="K3495" s="38"/>
      <c r="L3495" s="39"/>
      <c r="M3495" s="42">
        <f>IF(L3495="",I3495,(MIN(J3495,(L3495*1.6*J3495))))</f>
        <v>0</v>
      </c>
      <c r="N3495" s="43">
        <f>IF(M3495=0,0,(M3495/J3495))</f>
        <v>0</v>
      </c>
    </row>
    <row r="3496" spans="3:14">
      <c r="C3496" s="9"/>
      <c r="D3496" s="7" t="e">
        <f>SUMIF(B$3:B$3844,B3496,M$3:M$3844)/(SUMIF(B$3:B$3844,B3496,J$3:J$3844))</f>
        <v>#DIV/0!</v>
      </c>
      <c r="E3496" s="10"/>
      <c r="F3496" s="18"/>
      <c r="G3496" s="5"/>
      <c r="H3496" s="5"/>
      <c r="I3496" s="11"/>
      <c r="J3496" s="11"/>
      <c r="K3496" s="38"/>
      <c r="L3496" s="39"/>
      <c r="M3496" s="42">
        <f>IF(L3496="",I3496,(MIN(J3496,(L3496*1.6*J3496))))</f>
        <v>0</v>
      </c>
      <c r="N3496" s="43">
        <f>IF(M3496=0,0,(M3496/J3496))</f>
        <v>0</v>
      </c>
    </row>
    <row r="3497" spans="3:14">
      <c r="C3497" s="9"/>
      <c r="D3497" s="7" t="e">
        <f>SUMIF(B$3:B$3844,B3497,M$3:M$3844)/(SUMIF(B$3:B$3844,B3497,J$3:J$3844))</f>
        <v>#DIV/0!</v>
      </c>
      <c r="E3497" s="10"/>
      <c r="F3497" s="18"/>
      <c r="G3497" s="5"/>
      <c r="H3497" s="5"/>
      <c r="I3497" s="11"/>
      <c r="J3497" s="11"/>
      <c r="K3497" s="38"/>
      <c r="L3497" s="39"/>
      <c r="M3497" s="42">
        <f>IF(L3497="",I3497,(MIN(J3497,(L3497*1.6*J3497))))</f>
        <v>0</v>
      </c>
      <c r="N3497" s="43">
        <f>IF(M3497=0,0,(M3497/J3497))</f>
        <v>0</v>
      </c>
    </row>
    <row r="3498" spans="3:14">
      <c r="C3498" s="9"/>
      <c r="D3498" s="7" t="e">
        <f>SUMIF(B$3:B$3844,B3498,M$3:M$3844)/(SUMIF(B$3:B$3844,B3498,J$3:J$3844))</f>
        <v>#DIV/0!</v>
      </c>
      <c r="E3498" s="10"/>
      <c r="F3498" s="18"/>
      <c r="G3498" s="5"/>
      <c r="H3498" s="5"/>
      <c r="I3498" s="11"/>
      <c r="J3498" s="11"/>
      <c r="K3498" s="38"/>
      <c r="L3498" s="39"/>
      <c r="M3498" s="42">
        <f>IF(L3498="",I3498,(MIN(J3498,(L3498*1.6*J3498))))</f>
        <v>0</v>
      </c>
      <c r="N3498" s="43">
        <f>IF(M3498=0,0,(M3498/J3498))</f>
        <v>0</v>
      </c>
    </row>
    <row r="3499" spans="3:14">
      <c r="C3499" s="9"/>
      <c r="D3499" s="7" t="e">
        <f>SUMIF(B$3:B$3844,B3499,M$3:M$3844)/(SUMIF(B$3:B$3844,B3499,J$3:J$3844))</f>
        <v>#DIV/0!</v>
      </c>
      <c r="E3499" s="10"/>
      <c r="F3499" s="18"/>
      <c r="G3499" s="5"/>
      <c r="H3499" s="5"/>
      <c r="I3499" s="11"/>
      <c r="J3499" s="11"/>
      <c r="K3499" s="38"/>
      <c r="L3499" s="39"/>
      <c r="M3499" s="42">
        <f>IF(L3499="",I3499,(MIN(J3499,(L3499*1.6*J3499))))</f>
        <v>0</v>
      </c>
      <c r="N3499" s="43">
        <f>IF(M3499=0,0,(M3499/J3499))</f>
        <v>0</v>
      </c>
    </row>
    <row r="3500" spans="3:14">
      <c r="C3500" s="9"/>
      <c r="D3500" s="7" t="e">
        <f>SUMIF(B$3:B$3844,B3500,M$3:M$3844)/(SUMIF(B$3:B$3844,B3500,J$3:J$3844))</f>
        <v>#DIV/0!</v>
      </c>
      <c r="E3500" s="10"/>
      <c r="F3500" s="18"/>
      <c r="G3500" s="5"/>
      <c r="H3500" s="5"/>
      <c r="I3500" s="11"/>
      <c r="J3500" s="11"/>
      <c r="K3500" s="38"/>
      <c r="L3500" s="39"/>
      <c r="M3500" s="42">
        <f>IF(L3500="",I3500,(MIN(J3500,(L3500*1.6*J3500))))</f>
        <v>0</v>
      </c>
      <c r="N3500" s="43">
        <f>IF(M3500=0,0,(M3500/J3500))</f>
        <v>0</v>
      </c>
    </row>
    <row r="3501" spans="3:14">
      <c r="C3501" s="9"/>
      <c r="D3501" s="7" t="e">
        <f>SUMIF(B$3:B$3844,B3501,M$3:M$3844)/(SUMIF(B$3:B$3844,B3501,J$3:J$3844))</f>
        <v>#DIV/0!</v>
      </c>
      <c r="E3501" s="10"/>
      <c r="F3501" s="18"/>
      <c r="G3501" s="5"/>
      <c r="H3501" s="5"/>
      <c r="I3501" s="11"/>
      <c r="J3501" s="11"/>
      <c r="K3501" s="38"/>
      <c r="L3501" s="39"/>
      <c r="M3501" s="42">
        <f>IF(L3501="",I3501,(MIN(J3501,(L3501*1.6*J3501))))</f>
        <v>0</v>
      </c>
      <c r="N3501" s="43">
        <f>IF(M3501=0,0,(M3501/J3501))</f>
        <v>0</v>
      </c>
    </row>
    <row r="3502" spans="3:14">
      <c r="C3502" s="9"/>
      <c r="D3502" s="7" t="e">
        <f>SUMIF(B$3:B$3844,B3502,M$3:M$3844)/(SUMIF(B$3:B$3844,B3502,J$3:J$3844))</f>
        <v>#DIV/0!</v>
      </c>
      <c r="E3502" s="10"/>
      <c r="F3502" s="18"/>
      <c r="G3502" s="5"/>
      <c r="H3502" s="5"/>
      <c r="I3502" s="11"/>
      <c r="J3502" s="11"/>
      <c r="K3502" s="38"/>
      <c r="L3502" s="39"/>
      <c r="M3502" s="42">
        <f>IF(L3502="",I3502,(MIN(J3502,(L3502*1.6*J3502))))</f>
        <v>0</v>
      </c>
      <c r="N3502" s="43">
        <f>IF(M3502=0,0,(M3502/J3502))</f>
        <v>0</v>
      </c>
    </row>
    <row r="3503" spans="3:14">
      <c r="C3503" s="9"/>
      <c r="D3503" s="7" t="e">
        <f>SUMIF(B$3:B$3844,B3503,M$3:M$3844)/(SUMIF(B$3:B$3844,B3503,J$3:J$3844))</f>
        <v>#DIV/0!</v>
      </c>
      <c r="E3503" s="10"/>
      <c r="F3503" s="18"/>
      <c r="G3503" s="5"/>
      <c r="H3503" s="5"/>
      <c r="I3503" s="11"/>
      <c r="J3503" s="11"/>
      <c r="K3503" s="38"/>
      <c r="L3503" s="39"/>
      <c r="M3503" s="42">
        <f>IF(L3503="",I3503,(MIN(J3503,(L3503*1.6*J3503))))</f>
        <v>0</v>
      </c>
      <c r="N3503" s="43">
        <f>IF(M3503=0,0,(M3503/J3503))</f>
        <v>0</v>
      </c>
    </row>
    <row r="3504" spans="3:14">
      <c r="C3504" s="9"/>
      <c r="D3504" s="7" t="e">
        <f>SUMIF(B$3:B$3844,B3504,M$3:M$3844)/(SUMIF(B$3:B$3844,B3504,J$3:J$3844))</f>
        <v>#DIV/0!</v>
      </c>
      <c r="E3504" s="10"/>
      <c r="F3504" s="18"/>
      <c r="G3504" s="5"/>
      <c r="H3504" s="5"/>
      <c r="I3504" s="11"/>
      <c r="J3504" s="11"/>
      <c r="K3504" s="38"/>
      <c r="L3504" s="39"/>
      <c r="M3504" s="42">
        <f>IF(L3504="",I3504,(MIN(J3504,(L3504*1.6*J3504))))</f>
        <v>0</v>
      </c>
      <c r="N3504" s="43">
        <f>IF(M3504=0,0,(M3504/J3504))</f>
        <v>0</v>
      </c>
    </row>
    <row r="3505" spans="3:14">
      <c r="C3505" s="9"/>
      <c r="D3505" s="7" t="e">
        <f>SUMIF(B$3:B$3844,B3505,M$3:M$3844)/(SUMIF(B$3:B$3844,B3505,J$3:J$3844))</f>
        <v>#DIV/0!</v>
      </c>
      <c r="E3505" s="10"/>
      <c r="F3505" s="18"/>
      <c r="G3505" s="5"/>
      <c r="H3505" s="5"/>
      <c r="I3505" s="11"/>
      <c r="J3505" s="11"/>
      <c r="K3505" s="38"/>
      <c r="L3505" s="39"/>
      <c r="M3505" s="42">
        <f>IF(L3505="",I3505,(MIN(J3505,(L3505*1.6*J3505))))</f>
        <v>0</v>
      </c>
      <c r="N3505" s="43">
        <f>IF(M3505=0,0,(M3505/J3505))</f>
        <v>0</v>
      </c>
    </row>
    <row r="3506" spans="3:14">
      <c r="C3506" s="9"/>
      <c r="D3506" s="7" t="e">
        <f>SUMIF(B$3:B$3844,B3506,M$3:M$3844)/(SUMIF(B$3:B$3844,B3506,J$3:J$3844))</f>
        <v>#DIV/0!</v>
      </c>
      <c r="E3506" s="10"/>
      <c r="F3506" s="18"/>
      <c r="G3506" s="5"/>
      <c r="H3506" s="5"/>
      <c r="I3506" s="11"/>
      <c r="J3506" s="11"/>
      <c r="K3506" s="38"/>
      <c r="L3506" s="39"/>
      <c r="M3506" s="42">
        <f>IF(L3506="",I3506,(MIN(J3506,(L3506*1.6*J3506))))</f>
        <v>0</v>
      </c>
      <c r="N3506" s="43">
        <f>IF(M3506=0,0,(M3506/J3506))</f>
        <v>0</v>
      </c>
    </row>
    <row r="3507" spans="3:14">
      <c r="C3507" s="9"/>
      <c r="D3507" s="7" t="e">
        <f>SUMIF(B$3:B$3844,B3507,M$3:M$3844)/(SUMIF(B$3:B$3844,B3507,J$3:J$3844))</f>
        <v>#DIV/0!</v>
      </c>
      <c r="E3507" s="10"/>
      <c r="F3507" s="18"/>
      <c r="G3507" s="5"/>
      <c r="H3507" s="5"/>
      <c r="I3507" s="11"/>
      <c r="J3507" s="11"/>
      <c r="K3507" s="38"/>
      <c r="L3507" s="39"/>
      <c r="M3507" s="42">
        <f>IF(L3507="",I3507,(MIN(J3507,(L3507*1.6*J3507))))</f>
        <v>0</v>
      </c>
      <c r="N3507" s="43">
        <f>IF(M3507=0,0,(M3507/J3507))</f>
        <v>0</v>
      </c>
    </row>
    <row r="3508" spans="3:14">
      <c r="C3508" s="9"/>
      <c r="D3508" s="7" t="e">
        <f>SUMIF(B$3:B$3844,B3508,M$3:M$3844)/(SUMIF(B$3:B$3844,B3508,J$3:J$3844))</f>
        <v>#DIV/0!</v>
      </c>
      <c r="E3508" s="10"/>
      <c r="F3508" s="18"/>
      <c r="G3508" s="5"/>
      <c r="H3508" s="5"/>
      <c r="I3508" s="11"/>
      <c r="J3508" s="11"/>
      <c r="K3508" s="38"/>
      <c r="L3508" s="39"/>
      <c r="M3508" s="42">
        <f>IF(L3508="",I3508,(MIN(J3508,(L3508*1.6*J3508))))</f>
        <v>0</v>
      </c>
      <c r="N3508" s="43">
        <f>IF(M3508=0,0,(M3508/J3508))</f>
        <v>0</v>
      </c>
    </row>
    <row r="3509" spans="3:14">
      <c r="C3509" s="9"/>
      <c r="D3509" s="7" t="e">
        <f>SUMIF(B$3:B$3844,B3509,M$3:M$3844)/(SUMIF(B$3:B$3844,B3509,J$3:J$3844))</f>
        <v>#DIV/0!</v>
      </c>
      <c r="E3509" s="10"/>
      <c r="F3509" s="18"/>
      <c r="G3509" s="5"/>
      <c r="H3509" s="5"/>
      <c r="I3509" s="11"/>
      <c r="J3509" s="11"/>
      <c r="K3509" s="38"/>
      <c r="L3509" s="39"/>
      <c r="M3509" s="42">
        <f>IF(L3509="",I3509,(MIN(J3509,(L3509*1.6*J3509))))</f>
        <v>0</v>
      </c>
      <c r="N3509" s="43">
        <f>IF(M3509=0,0,(M3509/J3509))</f>
        <v>0</v>
      </c>
    </row>
    <row r="3510" spans="3:14">
      <c r="C3510" s="9"/>
      <c r="D3510" s="7" t="e">
        <f>SUMIF(B$3:B$3844,B3510,M$3:M$3844)/(SUMIF(B$3:B$3844,B3510,J$3:J$3844))</f>
        <v>#DIV/0!</v>
      </c>
      <c r="E3510" s="10"/>
      <c r="F3510" s="18"/>
      <c r="G3510" s="5"/>
      <c r="H3510" s="5"/>
      <c r="I3510" s="11"/>
      <c r="J3510" s="11"/>
      <c r="K3510" s="38"/>
      <c r="L3510" s="39"/>
      <c r="M3510" s="42">
        <f>IF(L3510="",I3510,(MIN(J3510,(L3510*1.6*J3510))))</f>
        <v>0</v>
      </c>
      <c r="N3510" s="43">
        <f>IF(M3510=0,0,(M3510/J3510))</f>
        <v>0</v>
      </c>
    </row>
    <row r="3511" spans="3:14">
      <c r="C3511" s="9"/>
      <c r="D3511" s="7" t="e">
        <f>SUMIF(B$3:B$3844,B3511,M$3:M$3844)/(SUMIF(B$3:B$3844,B3511,J$3:J$3844))</f>
        <v>#DIV/0!</v>
      </c>
      <c r="E3511" s="10"/>
      <c r="F3511" s="18"/>
      <c r="G3511" s="5"/>
      <c r="H3511" s="5"/>
      <c r="I3511" s="11"/>
      <c r="J3511" s="11"/>
      <c r="K3511" s="38"/>
      <c r="L3511" s="39"/>
      <c r="M3511" s="42">
        <f>IF(L3511="",I3511,(MIN(J3511,(L3511*1.6*J3511))))</f>
        <v>0</v>
      </c>
      <c r="N3511" s="43">
        <f>IF(M3511=0,0,(M3511/J3511))</f>
        <v>0</v>
      </c>
    </row>
    <row r="3512" spans="3:14">
      <c r="C3512" s="9"/>
      <c r="D3512" s="7" t="e">
        <f>SUMIF(B$3:B$3844,B3512,M$3:M$3844)/(SUMIF(B$3:B$3844,B3512,J$3:J$3844))</f>
        <v>#DIV/0!</v>
      </c>
      <c r="E3512" s="10"/>
      <c r="F3512" s="18"/>
      <c r="G3512" s="5"/>
      <c r="H3512" s="5"/>
      <c r="I3512" s="11"/>
      <c r="J3512" s="11"/>
      <c r="K3512" s="38"/>
      <c r="L3512" s="39"/>
      <c r="M3512" s="42">
        <f>IF(L3512="",I3512,(MIN(J3512,(L3512*1.6*J3512))))</f>
        <v>0</v>
      </c>
      <c r="N3512" s="43">
        <f>IF(M3512=0,0,(M3512/J3512))</f>
        <v>0</v>
      </c>
    </row>
    <row r="3513" spans="3:14">
      <c r="C3513" s="9"/>
      <c r="D3513" s="7" t="e">
        <f>SUMIF(B$3:B$3844,B3513,M$3:M$3844)/(SUMIF(B$3:B$3844,B3513,J$3:J$3844))</f>
        <v>#DIV/0!</v>
      </c>
      <c r="E3513" s="10"/>
      <c r="F3513" s="18"/>
      <c r="G3513" s="5"/>
      <c r="H3513" s="5"/>
      <c r="I3513" s="11"/>
      <c r="J3513" s="11"/>
      <c r="K3513" s="38"/>
      <c r="L3513" s="39"/>
      <c r="M3513" s="42">
        <f>IF(L3513="",I3513,(MIN(J3513,(L3513*1.6*J3513))))</f>
        <v>0</v>
      </c>
      <c r="N3513" s="43">
        <f>IF(M3513=0,0,(M3513/J3513))</f>
        <v>0</v>
      </c>
    </row>
    <row r="3514" spans="3:14">
      <c r="C3514" s="9"/>
      <c r="D3514" s="7" t="e">
        <f>SUMIF(B$3:B$3844,B3514,M$3:M$3844)/(SUMIF(B$3:B$3844,B3514,J$3:J$3844))</f>
        <v>#DIV/0!</v>
      </c>
      <c r="E3514" s="10"/>
      <c r="F3514" s="18"/>
      <c r="G3514" s="5"/>
      <c r="H3514" s="5"/>
      <c r="I3514" s="11"/>
      <c r="J3514" s="11"/>
      <c r="K3514" s="38"/>
      <c r="L3514" s="39"/>
      <c r="M3514" s="42">
        <f>IF(L3514="",I3514,(MIN(J3514,(L3514*1.6*J3514))))</f>
        <v>0</v>
      </c>
      <c r="N3514" s="43">
        <f>IF(M3514=0,0,(M3514/J3514))</f>
        <v>0</v>
      </c>
    </row>
    <row r="3515" spans="3:14">
      <c r="C3515" s="9"/>
      <c r="D3515" s="7" t="e">
        <f>SUMIF(B$3:B$3844,B3515,M$3:M$3844)/(SUMIF(B$3:B$3844,B3515,J$3:J$3844))</f>
        <v>#DIV/0!</v>
      </c>
      <c r="E3515" s="10"/>
      <c r="F3515" s="18"/>
      <c r="G3515" s="5"/>
      <c r="H3515" s="5"/>
      <c r="I3515" s="11"/>
      <c r="J3515" s="11"/>
      <c r="K3515" s="38"/>
      <c r="L3515" s="39"/>
      <c r="M3515" s="42">
        <f>IF(L3515="",I3515,(MIN(J3515,(L3515*1.6*J3515))))</f>
        <v>0</v>
      </c>
      <c r="N3515" s="43">
        <f>IF(M3515=0,0,(M3515/J3515))</f>
        <v>0</v>
      </c>
    </row>
    <row r="3516" spans="3:14">
      <c r="C3516" s="9"/>
      <c r="D3516" s="7" t="e">
        <f>SUMIF(B$3:B$3844,B3516,M$3:M$3844)/(SUMIF(B$3:B$3844,B3516,J$3:J$3844))</f>
        <v>#DIV/0!</v>
      </c>
      <c r="E3516" s="10"/>
      <c r="F3516" s="18"/>
      <c r="G3516" s="5"/>
      <c r="H3516" s="5"/>
      <c r="I3516" s="11"/>
      <c r="J3516" s="11"/>
      <c r="K3516" s="38"/>
      <c r="L3516" s="39"/>
      <c r="M3516" s="42">
        <f>IF(L3516="",I3516,(MIN(J3516,(L3516*1.6*J3516))))</f>
        <v>0</v>
      </c>
      <c r="N3516" s="43">
        <f>IF(M3516=0,0,(M3516/J3516))</f>
        <v>0</v>
      </c>
    </row>
    <row r="3517" spans="3:14">
      <c r="C3517" s="9"/>
      <c r="D3517" s="7" t="e">
        <f>SUMIF(B$3:B$3844,B3517,M$3:M$3844)/(SUMIF(B$3:B$3844,B3517,J$3:J$3844))</f>
        <v>#DIV/0!</v>
      </c>
      <c r="E3517" s="10"/>
      <c r="F3517" s="18"/>
      <c r="G3517" s="5"/>
      <c r="H3517" s="5"/>
      <c r="I3517" s="11"/>
      <c r="J3517" s="11"/>
      <c r="K3517" s="38"/>
      <c r="L3517" s="39"/>
      <c r="M3517" s="42">
        <f>IF(L3517="",I3517,(MIN(J3517,(L3517*1.6*J3517))))</f>
        <v>0</v>
      </c>
      <c r="N3517" s="43">
        <f>IF(M3517=0,0,(M3517/J3517))</f>
        <v>0</v>
      </c>
    </row>
    <row r="3518" spans="3:14">
      <c r="C3518" s="9"/>
      <c r="D3518" s="7" t="e">
        <f>SUMIF(B$3:B$3844,B3518,M$3:M$3844)/(SUMIF(B$3:B$3844,B3518,J$3:J$3844))</f>
        <v>#DIV/0!</v>
      </c>
      <c r="E3518" s="10"/>
      <c r="F3518" s="18"/>
      <c r="G3518" s="5"/>
      <c r="H3518" s="5"/>
      <c r="I3518" s="11"/>
      <c r="J3518" s="11"/>
      <c r="K3518" s="38"/>
      <c r="L3518" s="39"/>
      <c r="M3518" s="42">
        <f>IF(L3518="",I3518,(MIN(J3518,(L3518*1.6*J3518))))</f>
        <v>0</v>
      </c>
      <c r="N3518" s="43">
        <f>IF(M3518=0,0,(M3518/J3518))</f>
        <v>0</v>
      </c>
    </row>
    <row r="3519" spans="3:14">
      <c r="C3519" s="9"/>
      <c r="D3519" s="7" t="e">
        <f>SUMIF(B$3:B$3844,B3519,M$3:M$3844)/(SUMIF(B$3:B$3844,B3519,J$3:J$3844))</f>
        <v>#DIV/0!</v>
      </c>
      <c r="E3519" s="10"/>
      <c r="F3519" s="18"/>
      <c r="G3519" s="5"/>
      <c r="H3519" s="5"/>
      <c r="I3519" s="11"/>
      <c r="J3519" s="11"/>
      <c r="K3519" s="38"/>
      <c r="L3519" s="39"/>
      <c r="M3519" s="42">
        <f>IF(L3519="",I3519,(MIN(J3519,(L3519*1.6*J3519))))</f>
        <v>0</v>
      </c>
      <c r="N3519" s="43">
        <f>IF(M3519=0,0,(M3519/J3519))</f>
        <v>0</v>
      </c>
    </row>
    <row r="3520" spans="3:14">
      <c r="C3520" s="9"/>
      <c r="D3520" s="7" t="e">
        <f>SUMIF(B$3:B$3844,B3520,M$3:M$3844)/(SUMIF(B$3:B$3844,B3520,J$3:J$3844))</f>
        <v>#DIV/0!</v>
      </c>
      <c r="E3520" s="10"/>
      <c r="F3520" s="18"/>
      <c r="G3520" s="5"/>
      <c r="H3520" s="5"/>
      <c r="I3520" s="11"/>
      <c r="J3520" s="11"/>
      <c r="K3520" s="38"/>
      <c r="L3520" s="39"/>
      <c r="M3520" s="42">
        <f>IF(L3520="",I3520,(MIN(J3520,(L3520*1.6*J3520))))</f>
        <v>0</v>
      </c>
      <c r="N3520" s="43">
        <f>IF(M3520=0,0,(M3520/J3520))</f>
        <v>0</v>
      </c>
    </row>
    <row r="3521" spans="3:14">
      <c r="C3521" s="9"/>
      <c r="D3521" s="7" t="e">
        <f>SUMIF(B$3:B$3844,B3521,M$3:M$3844)/(SUMIF(B$3:B$3844,B3521,J$3:J$3844))</f>
        <v>#DIV/0!</v>
      </c>
      <c r="E3521" s="10"/>
      <c r="F3521" s="18"/>
      <c r="G3521" s="5"/>
      <c r="H3521" s="5"/>
      <c r="I3521" s="11"/>
      <c r="J3521" s="11"/>
      <c r="K3521" s="38"/>
      <c r="L3521" s="39"/>
      <c r="M3521" s="42">
        <f>IF(L3521="",I3521,(MIN(J3521,(L3521*1.6*J3521))))</f>
        <v>0</v>
      </c>
      <c r="N3521" s="43">
        <f>IF(M3521=0,0,(M3521/J3521))</f>
        <v>0</v>
      </c>
    </row>
    <row r="3522" spans="3:14">
      <c r="C3522" s="9"/>
      <c r="D3522" s="7" t="e">
        <f>SUMIF(B$3:B$3844,B3522,M$3:M$3844)/(SUMIF(B$3:B$3844,B3522,J$3:J$3844))</f>
        <v>#DIV/0!</v>
      </c>
      <c r="E3522" s="10"/>
      <c r="F3522" s="18"/>
      <c r="G3522" s="5"/>
      <c r="H3522" s="5"/>
      <c r="I3522" s="11"/>
      <c r="J3522" s="11"/>
      <c r="K3522" s="38"/>
      <c r="L3522" s="39"/>
      <c r="M3522" s="42">
        <f>IF(L3522="",I3522,(MIN(J3522,(L3522*1.6*J3522))))</f>
        <v>0</v>
      </c>
      <c r="N3522" s="43">
        <f>IF(M3522=0,0,(M3522/J3522))</f>
        <v>0</v>
      </c>
    </row>
    <row r="3523" spans="3:14">
      <c r="C3523" s="9"/>
      <c r="D3523" s="7" t="e">
        <f>SUMIF(B$3:B$3844,B3523,M$3:M$3844)/(SUMIF(B$3:B$3844,B3523,J$3:J$3844))</f>
        <v>#DIV/0!</v>
      </c>
      <c r="E3523" s="10"/>
      <c r="F3523" s="18"/>
      <c r="G3523" s="5"/>
      <c r="H3523" s="5"/>
      <c r="I3523" s="11"/>
      <c r="J3523" s="11"/>
      <c r="K3523" s="38"/>
      <c r="L3523" s="39"/>
      <c r="M3523" s="42">
        <f>IF(L3523="",I3523,(MIN(J3523,(L3523*1.6*J3523))))</f>
        <v>0</v>
      </c>
      <c r="N3523" s="43">
        <f>IF(M3523=0,0,(M3523/J3523))</f>
        <v>0</v>
      </c>
    </row>
    <row r="3524" spans="3:14">
      <c r="C3524" s="9"/>
      <c r="D3524" s="7" t="e">
        <f>SUMIF(B$3:B$3844,B3524,M$3:M$3844)/(SUMIF(B$3:B$3844,B3524,J$3:J$3844))</f>
        <v>#DIV/0!</v>
      </c>
      <c r="E3524" s="10"/>
      <c r="F3524" s="18"/>
      <c r="G3524" s="5"/>
      <c r="H3524" s="5"/>
      <c r="I3524" s="11"/>
      <c r="J3524" s="11"/>
      <c r="K3524" s="38"/>
      <c r="L3524" s="39"/>
      <c r="M3524" s="42">
        <f>IF(L3524="",I3524,(MIN(J3524,(L3524*1.6*J3524))))</f>
        <v>0</v>
      </c>
      <c r="N3524" s="43">
        <f>IF(M3524=0,0,(M3524/J3524))</f>
        <v>0</v>
      </c>
    </row>
    <row r="3525" spans="3:14">
      <c r="C3525" s="9"/>
      <c r="D3525" s="7" t="e">
        <f>SUMIF(B$3:B$3844,B3525,M$3:M$3844)/(SUMIF(B$3:B$3844,B3525,J$3:J$3844))</f>
        <v>#DIV/0!</v>
      </c>
      <c r="E3525" s="10"/>
      <c r="F3525" s="18"/>
      <c r="G3525" s="5"/>
      <c r="H3525" s="5"/>
      <c r="I3525" s="11"/>
      <c r="J3525" s="11"/>
      <c r="K3525" s="38"/>
      <c r="L3525" s="39"/>
      <c r="M3525" s="42">
        <f>IF(L3525="",I3525,(MIN(J3525,(L3525*1.6*J3525))))</f>
        <v>0</v>
      </c>
      <c r="N3525" s="43">
        <f>IF(M3525=0,0,(M3525/J3525))</f>
        <v>0</v>
      </c>
    </row>
    <row r="3526" spans="3:14">
      <c r="C3526" s="9"/>
      <c r="D3526" s="7" t="e">
        <f>SUMIF(B$3:B$3844,B3526,M$3:M$3844)/(SUMIF(B$3:B$3844,B3526,J$3:J$3844))</f>
        <v>#DIV/0!</v>
      </c>
      <c r="E3526" s="10"/>
      <c r="F3526" s="18"/>
      <c r="G3526" s="5"/>
      <c r="H3526" s="5"/>
      <c r="I3526" s="11"/>
      <c r="J3526" s="11"/>
      <c r="K3526" s="38"/>
      <c r="L3526" s="39"/>
      <c r="M3526" s="42">
        <f>IF(L3526="",I3526,(MIN(J3526,(L3526*1.6*J3526))))</f>
        <v>0</v>
      </c>
      <c r="N3526" s="43">
        <f>IF(M3526=0,0,(M3526/J3526))</f>
        <v>0</v>
      </c>
    </row>
    <row r="3527" spans="3:14">
      <c r="C3527" s="9"/>
      <c r="D3527" s="7" t="e">
        <f>SUMIF(B$3:B$3844,B3527,M$3:M$3844)/(SUMIF(B$3:B$3844,B3527,J$3:J$3844))</f>
        <v>#DIV/0!</v>
      </c>
      <c r="E3527" s="10"/>
      <c r="F3527" s="18"/>
      <c r="G3527" s="5"/>
      <c r="H3527" s="5"/>
      <c r="I3527" s="11"/>
      <c r="J3527" s="11"/>
      <c r="K3527" s="38"/>
      <c r="L3527" s="39"/>
      <c r="M3527" s="42">
        <f>IF(L3527="",I3527,(MIN(J3527,(L3527*1.6*J3527))))</f>
        <v>0</v>
      </c>
      <c r="N3527" s="43">
        <f>IF(M3527=0,0,(M3527/J3527))</f>
        <v>0</v>
      </c>
    </row>
    <row r="3528" spans="3:14">
      <c r="C3528" s="9"/>
      <c r="D3528" s="7" t="e">
        <f>SUMIF(B$3:B$3844,B3528,M$3:M$3844)/(SUMIF(B$3:B$3844,B3528,J$3:J$3844))</f>
        <v>#DIV/0!</v>
      </c>
      <c r="E3528" s="10"/>
      <c r="F3528" s="18"/>
      <c r="G3528" s="5"/>
      <c r="H3528" s="5"/>
      <c r="I3528" s="11"/>
      <c r="J3528" s="11"/>
      <c r="K3528" s="38"/>
      <c r="L3528" s="39"/>
      <c r="M3528" s="42">
        <f>IF(L3528="",I3528,(MIN(J3528,(L3528*1.6*J3528))))</f>
        <v>0</v>
      </c>
      <c r="N3528" s="43">
        <f>IF(M3528=0,0,(M3528/J3528))</f>
        <v>0</v>
      </c>
    </row>
    <row r="3529" spans="3:14">
      <c r="C3529" s="9"/>
      <c r="D3529" s="7" t="e">
        <f>SUMIF(B$3:B$3844,B3529,M$3:M$3844)/(SUMIF(B$3:B$3844,B3529,J$3:J$3844))</f>
        <v>#DIV/0!</v>
      </c>
      <c r="E3529" s="10"/>
      <c r="F3529" s="18"/>
      <c r="G3529" s="5"/>
      <c r="H3529" s="5"/>
      <c r="I3529" s="11"/>
      <c r="J3529" s="11"/>
      <c r="K3529" s="38"/>
      <c r="L3529" s="39"/>
      <c r="M3529" s="42">
        <f>IF(L3529="",I3529,(MIN(J3529,(L3529*1.6*J3529))))</f>
        <v>0</v>
      </c>
      <c r="N3529" s="43">
        <f>IF(M3529=0,0,(M3529/J3529))</f>
        <v>0</v>
      </c>
    </row>
    <row r="3530" spans="3:14">
      <c r="C3530" s="9"/>
      <c r="D3530" s="7" t="e">
        <f>SUMIF(B$3:B$3844,B3530,M$3:M$3844)/(SUMIF(B$3:B$3844,B3530,J$3:J$3844))</f>
        <v>#DIV/0!</v>
      </c>
      <c r="E3530" s="10"/>
      <c r="F3530" s="18"/>
      <c r="G3530" s="5"/>
      <c r="H3530" s="5"/>
      <c r="I3530" s="11"/>
      <c r="J3530" s="11"/>
      <c r="K3530" s="38"/>
      <c r="L3530" s="39"/>
      <c r="M3530" s="42">
        <f>IF(L3530="",I3530,(MIN(J3530,(L3530*1.6*J3530))))</f>
        <v>0</v>
      </c>
      <c r="N3530" s="43">
        <f>IF(M3530=0,0,(M3530/J3530))</f>
        <v>0</v>
      </c>
    </row>
    <row r="3531" spans="3:14">
      <c r="C3531" s="9"/>
      <c r="D3531" s="7" t="e">
        <f>SUMIF(B$3:B$3844,B3531,M$3:M$3844)/(SUMIF(B$3:B$3844,B3531,J$3:J$3844))</f>
        <v>#DIV/0!</v>
      </c>
      <c r="E3531" s="10"/>
      <c r="F3531" s="18"/>
      <c r="G3531" s="5"/>
      <c r="H3531" s="5"/>
      <c r="I3531" s="11"/>
      <c r="J3531" s="11"/>
      <c r="K3531" s="38"/>
      <c r="L3531" s="39"/>
      <c r="M3531" s="42">
        <f>IF(L3531="",I3531,(MIN(J3531,(L3531*1.6*J3531))))</f>
        <v>0</v>
      </c>
      <c r="N3531" s="43">
        <f>IF(M3531=0,0,(M3531/J3531))</f>
        <v>0</v>
      </c>
    </row>
    <row r="3532" spans="3:14">
      <c r="C3532" s="9"/>
      <c r="D3532" s="7" t="e">
        <f>SUMIF(B$3:B$3844,B3532,M$3:M$3844)/(SUMIF(B$3:B$3844,B3532,J$3:J$3844))</f>
        <v>#DIV/0!</v>
      </c>
      <c r="E3532" s="10"/>
      <c r="F3532" s="18"/>
      <c r="G3532" s="5"/>
      <c r="H3532" s="5"/>
      <c r="I3532" s="11"/>
      <c r="J3532" s="11"/>
      <c r="K3532" s="38"/>
      <c r="L3532" s="39"/>
      <c r="M3532" s="42">
        <f>IF(L3532="",I3532,(MIN(J3532,(L3532*1.6*J3532))))</f>
        <v>0</v>
      </c>
      <c r="N3532" s="43">
        <f>IF(M3532=0,0,(M3532/J3532))</f>
        <v>0</v>
      </c>
    </row>
    <row r="3533" spans="3:14">
      <c r="C3533" s="9"/>
      <c r="D3533" s="7" t="e">
        <f>SUMIF(B$3:B$3844,B3533,M$3:M$3844)/(SUMIF(B$3:B$3844,B3533,J$3:J$3844))</f>
        <v>#DIV/0!</v>
      </c>
      <c r="E3533" s="10"/>
      <c r="F3533" s="18"/>
      <c r="G3533" s="5"/>
      <c r="H3533" s="5"/>
      <c r="I3533" s="11"/>
      <c r="J3533" s="11"/>
      <c r="K3533" s="38"/>
      <c r="L3533" s="39"/>
      <c r="M3533" s="42">
        <f>IF(L3533="",I3533,(MIN(J3533,(L3533*1.6*J3533))))</f>
        <v>0</v>
      </c>
      <c r="N3533" s="43">
        <f>IF(M3533=0,0,(M3533/J3533))</f>
        <v>0</v>
      </c>
    </row>
    <row r="3534" spans="3:14">
      <c r="C3534" s="9"/>
      <c r="D3534" s="7" t="e">
        <f>SUMIF(B$3:B$3844,B3534,M$3:M$3844)/(SUMIF(B$3:B$3844,B3534,J$3:J$3844))</f>
        <v>#DIV/0!</v>
      </c>
      <c r="E3534" s="10"/>
      <c r="F3534" s="18"/>
      <c r="G3534" s="5"/>
      <c r="H3534" s="5"/>
      <c r="I3534" s="11"/>
      <c r="J3534" s="11"/>
      <c r="K3534" s="38"/>
      <c r="L3534" s="39"/>
      <c r="M3534" s="42">
        <f>IF(L3534="",I3534,(MIN(J3534,(L3534*1.6*J3534))))</f>
        <v>0</v>
      </c>
      <c r="N3534" s="43">
        <f>IF(M3534=0,0,(M3534/J3534))</f>
        <v>0</v>
      </c>
    </row>
    <row r="3535" spans="3:14">
      <c r="C3535" s="9"/>
      <c r="D3535" s="7" t="e">
        <f>SUMIF(B$3:B$3844,B3535,M$3:M$3844)/(SUMIF(B$3:B$3844,B3535,J$3:J$3844))</f>
        <v>#DIV/0!</v>
      </c>
      <c r="E3535" s="10"/>
      <c r="F3535" s="18"/>
      <c r="G3535" s="5"/>
      <c r="H3535" s="5"/>
      <c r="I3535" s="11"/>
      <c r="J3535" s="11"/>
      <c r="K3535" s="38"/>
      <c r="L3535" s="39"/>
      <c r="M3535" s="42">
        <f>IF(L3535="",I3535,(MIN(J3535,(L3535*1.6*J3535))))</f>
        <v>0</v>
      </c>
      <c r="N3535" s="43">
        <f>IF(M3535=0,0,(M3535/J3535))</f>
        <v>0</v>
      </c>
    </row>
    <row r="3536" spans="3:14">
      <c r="C3536" s="9"/>
      <c r="D3536" s="7" t="e">
        <f>SUMIF(B$3:B$3844,B3536,M$3:M$3844)/(SUMIF(B$3:B$3844,B3536,J$3:J$3844))</f>
        <v>#DIV/0!</v>
      </c>
      <c r="E3536" s="10"/>
      <c r="F3536" s="18"/>
      <c r="G3536" s="5"/>
      <c r="H3536" s="5"/>
      <c r="I3536" s="11"/>
      <c r="J3536" s="11"/>
      <c r="K3536" s="38"/>
      <c r="L3536" s="39"/>
      <c r="M3536" s="42">
        <f>IF(L3536="",I3536,(MIN(J3536,(L3536*1.6*J3536))))</f>
        <v>0</v>
      </c>
      <c r="N3536" s="43">
        <f>IF(M3536=0,0,(M3536/J3536))</f>
        <v>0</v>
      </c>
    </row>
    <row r="3537" spans="3:14">
      <c r="C3537" s="9"/>
      <c r="D3537" s="7" t="e">
        <f>SUMIF(B$3:B$3844,B3537,M$3:M$3844)/(SUMIF(B$3:B$3844,B3537,J$3:J$3844))</f>
        <v>#DIV/0!</v>
      </c>
      <c r="E3537" s="10"/>
      <c r="F3537" s="18"/>
      <c r="G3537" s="5"/>
      <c r="H3537" s="5"/>
      <c r="I3537" s="11"/>
      <c r="J3537" s="11"/>
      <c r="K3537" s="38"/>
      <c r="L3537" s="39"/>
      <c r="M3537" s="42">
        <f>IF(L3537="",I3537,(MIN(J3537,(L3537*1.6*J3537))))</f>
        <v>0</v>
      </c>
      <c r="N3537" s="43">
        <f>IF(M3537=0,0,(M3537/J3537))</f>
        <v>0</v>
      </c>
    </row>
    <row r="3538" spans="3:14">
      <c r="C3538" s="9"/>
      <c r="D3538" s="7" t="e">
        <f>SUMIF(B$3:B$3844,B3538,M$3:M$3844)/(SUMIF(B$3:B$3844,B3538,J$3:J$3844))</f>
        <v>#DIV/0!</v>
      </c>
      <c r="E3538" s="10"/>
      <c r="F3538" s="18"/>
      <c r="G3538" s="5"/>
      <c r="H3538" s="5"/>
      <c r="I3538" s="11"/>
      <c r="J3538" s="11"/>
      <c r="K3538" s="38"/>
      <c r="L3538" s="39"/>
      <c r="M3538" s="42">
        <f>IF(L3538="",I3538,(MIN(J3538,(L3538*1.6*J3538))))</f>
        <v>0</v>
      </c>
      <c r="N3538" s="43">
        <f>IF(M3538=0,0,(M3538/J3538))</f>
        <v>0</v>
      </c>
    </row>
    <row r="3539" spans="3:14">
      <c r="C3539" s="9"/>
      <c r="D3539" s="7" t="e">
        <f>SUMIF(B$3:B$3844,B3539,M$3:M$3844)/(SUMIF(B$3:B$3844,B3539,J$3:J$3844))</f>
        <v>#DIV/0!</v>
      </c>
      <c r="E3539" s="10"/>
      <c r="F3539" s="18"/>
      <c r="G3539" s="5"/>
      <c r="H3539" s="5"/>
      <c r="I3539" s="11"/>
      <c r="J3539" s="11"/>
      <c r="K3539" s="38"/>
      <c r="L3539" s="39"/>
      <c r="M3539" s="42">
        <f>IF(L3539="",I3539,(MIN(J3539,(L3539*1.6*J3539))))</f>
        <v>0</v>
      </c>
      <c r="N3539" s="43">
        <f>IF(M3539=0,0,(M3539/J3539))</f>
        <v>0</v>
      </c>
    </row>
    <row r="3540" spans="3:14">
      <c r="C3540" s="9"/>
      <c r="D3540" s="7" t="e">
        <f>SUMIF(B$3:B$3844,B3540,M$3:M$3844)/(SUMIF(B$3:B$3844,B3540,J$3:J$3844))</f>
        <v>#DIV/0!</v>
      </c>
      <c r="E3540" s="10"/>
      <c r="F3540" s="18"/>
      <c r="G3540" s="5"/>
      <c r="H3540" s="5"/>
      <c r="I3540" s="11"/>
      <c r="J3540" s="11"/>
      <c r="K3540" s="38"/>
      <c r="L3540" s="39"/>
      <c r="M3540" s="42">
        <f>IF(L3540="",I3540,(MIN(J3540,(L3540*1.6*J3540))))</f>
        <v>0</v>
      </c>
      <c r="N3540" s="43">
        <f>IF(M3540=0,0,(M3540/J3540))</f>
        <v>0</v>
      </c>
    </row>
    <row r="3541" spans="3:14">
      <c r="C3541" s="9"/>
      <c r="D3541" s="7" t="e">
        <f>SUMIF(B$3:B$3844,B3541,M$3:M$3844)/(SUMIF(B$3:B$3844,B3541,J$3:J$3844))</f>
        <v>#DIV/0!</v>
      </c>
      <c r="E3541" s="10"/>
      <c r="F3541" s="18"/>
      <c r="G3541" s="5"/>
      <c r="H3541" s="5"/>
      <c r="I3541" s="11"/>
      <c r="J3541" s="11"/>
      <c r="K3541" s="38"/>
      <c r="L3541" s="39"/>
      <c r="M3541" s="42">
        <f>IF(L3541="",I3541,(MIN(J3541,(L3541*1.6*J3541))))</f>
        <v>0</v>
      </c>
      <c r="N3541" s="43">
        <f>IF(M3541=0,0,(M3541/J3541))</f>
        <v>0</v>
      </c>
    </row>
    <row r="3542" spans="3:14">
      <c r="C3542" s="9"/>
      <c r="D3542" s="7" t="e">
        <f>SUMIF(B$3:B$3844,B3542,M$3:M$3844)/(SUMIF(B$3:B$3844,B3542,J$3:J$3844))</f>
        <v>#DIV/0!</v>
      </c>
      <c r="E3542" s="10"/>
      <c r="F3542" s="18"/>
      <c r="G3542" s="5"/>
      <c r="H3542" s="5"/>
      <c r="I3542" s="11"/>
      <c r="J3542" s="11"/>
      <c r="K3542" s="38"/>
      <c r="L3542" s="39"/>
      <c r="M3542" s="42">
        <f>IF(L3542="",I3542,(MIN(J3542,(L3542*1.6*J3542))))</f>
        <v>0</v>
      </c>
      <c r="N3542" s="43">
        <f>IF(M3542=0,0,(M3542/J3542))</f>
        <v>0</v>
      </c>
    </row>
    <row r="3543" spans="3:14">
      <c r="C3543" s="9"/>
      <c r="D3543" s="7" t="e">
        <f>SUMIF(B$3:B$3844,B3543,M$3:M$3844)/(SUMIF(B$3:B$3844,B3543,J$3:J$3844))</f>
        <v>#DIV/0!</v>
      </c>
      <c r="E3543" s="10"/>
      <c r="F3543" s="18"/>
      <c r="G3543" s="5"/>
      <c r="H3543" s="5"/>
      <c r="I3543" s="11"/>
      <c r="J3543" s="11"/>
      <c r="K3543" s="38"/>
      <c r="L3543" s="39"/>
      <c r="M3543" s="42">
        <f>IF(L3543="",I3543,(MIN(J3543,(L3543*1.6*J3543))))</f>
        <v>0</v>
      </c>
      <c r="N3543" s="43">
        <f>IF(M3543=0,0,(M3543/J3543))</f>
        <v>0</v>
      </c>
    </row>
    <row r="3544" spans="3:14">
      <c r="C3544" s="9"/>
      <c r="D3544" s="7" t="e">
        <f>SUMIF(B$3:B$3844,B3544,M$3:M$3844)/(SUMIF(B$3:B$3844,B3544,J$3:J$3844))</f>
        <v>#DIV/0!</v>
      </c>
      <c r="E3544" s="10"/>
      <c r="F3544" s="18"/>
      <c r="G3544" s="5"/>
      <c r="H3544" s="5"/>
      <c r="I3544" s="11"/>
      <c r="J3544" s="11"/>
      <c r="K3544" s="38"/>
      <c r="L3544" s="39"/>
      <c r="M3544" s="42">
        <f>IF(L3544="",I3544,(MIN(J3544,(L3544*1.6*J3544))))</f>
        <v>0</v>
      </c>
      <c r="N3544" s="43">
        <f>IF(M3544=0,0,(M3544/J3544))</f>
        <v>0</v>
      </c>
    </row>
    <row r="3545" spans="3:14">
      <c r="C3545" s="9"/>
      <c r="D3545" s="7" t="e">
        <f>SUMIF(B$3:B$3844,B3545,M$3:M$3844)/(SUMIF(B$3:B$3844,B3545,J$3:J$3844))</f>
        <v>#DIV/0!</v>
      </c>
      <c r="E3545" s="10"/>
      <c r="F3545" s="18"/>
      <c r="G3545" s="5"/>
      <c r="H3545" s="5"/>
      <c r="I3545" s="11"/>
      <c r="J3545" s="11"/>
      <c r="K3545" s="38"/>
      <c r="L3545" s="39"/>
      <c r="M3545" s="42">
        <f>IF(L3545="",I3545,(MIN(J3545,(L3545*1.6*J3545))))</f>
        <v>0</v>
      </c>
      <c r="N3545" s="43">
        <f>IF(M3545=0,0,(M3545/J3545))</f>
        <v>0</v>
      </c>
    </row>
    <row r="3546" spans="3:14">
      <c r="C3546" s="9"/>
      <c r="D3546" s="7" t="e">
        <f>SUMIF(B$3:B$3844,B3546,M$3:M$3844)/(SUMIF(B$3:B$3844,B3546,J$3:J$3844))</f>
        <v>#DIV/0!</v>
      </c>
      <c r="E3546" s="10"/>
      <c r="F3546" s="18"/>
      <c r="G3546" s="5"/>
      <c r="H3546" s="5"/>
      <c r="I3546" s="11"/>
      <c r="J3546" s="11"/>
      <c r="K3546" s="38"/>
      <c r="L3546" s="39"/>
      <c r="M3546" s="42">
        <f>IF(L3546="",I3546,(MIN(J3546,(L3546*1.6*J3546))))</f>
        <v>0</v>
      </c>
      <c r="N3546" s="43">
        <f>IF(M3546=0,0,(M3546/J3546))</f>
        <v>0</v>
      </c>
    </row>
    <row r="3547" spans="3:14">
      <c r="C3547" s="9"/>
      <c r="D3547" s="7" t="e">
        <f>SUMIF(B$3:B$3844,B3547,M$3:M$3844)/(SUMIF(B$3:B$3844,B3547,J$3:J$3844))</f>
        <v>#DIV/0!</v>
      </c>
      <c r="E3547" s="10"/>
      <c r="F3547" s="18"/>
      <c r="G3547" s="5"/>
      <c r="H3547" s="5"/>
      <c r="I3547" s="11"/>
      <c r="J3547" s="11"/>
      <c r="K3547" s="38"/>
      <c r="L3547" s="39"/>
      <c r="M3547" s="42">
        <f>IF(L3547="",I3547,(MIN(J3547,(L3547*1.6*J3547))))</f>
        <v>0</v>
      </c>
      <c r="N3547" s="43">
        <f>IF(M3547=0,0,(M3547/J3547))</f>
        <v>0</v>
      </c>
    </row>
    <row r="3548" spans="3:14">
      <c r="C3548" s="9"/>
      <c r="D3548" s="7" t="e">
        <f>SUMIF(B$3:B$3844,B3548,M$3:M$3844)/(SUMIF(B$3:B$3844,B3548,J$3:J$3844))</f>
        <v>#DIV/0!</v>
      </c>
      <c r="E3548" s="10"/>
      <c r="F3548" s="18"/>
      <c r="G3548" s="5"/>
      <c r="H3548" s="5"/>
      <c r="I3548" s="11"/>
      <c r="J3548" s="11"/>
      <c r="K3548" s="38"/>
      <c r="L3548" s="39"/>
      <c r="M3548" s="42">
        <f>IF(L3548="",I3548,(MIN(J3548,(L3548*1.6*J3548))))</f>
        <v>0</v>
      </c>
      <c r="N3548" s="43">
        <f>IF(M3548=0,0,(M3548/J3548))</f>
        <v>0</v>
      </c>
    </row>
    <row r="3549" spans="3:14">
      <c r="C3549" s="9"/>
      <c r="D3549" s="7" t="e">
        <f>SUMIF(B$3:B$3844,B3549,M$3:M$3844)/(SUMIF(B$3:B$3844,B3549,J$3:J$3844))</f>
        <v>#DIV/0!</v>
      </c>
      <c r="E3549" s="10"/>
      <c r="F3549" s="18"/>
      <c r="G3549" s="5"/>
      <c r="H3549" s="5"/>
      <c r="I3549" s="11"/>
      <c r="J3549" s="11"/>
      <c r="K3549" s="38"/>
      <c r="L3549" s="39"/>
      <c r="M3549" s="42">
        <f>IF(L3549="",I3549,(MIN(J3549,(L3549*1.6*J3549))))</f>
        <v>0</v>
      </c>
      <c r="N3549" s="43">
        <f>IF(M3549=0,0,(M3549/J3549))</f>
        <v>0</v>
      </c>
    </row>
    <row r="3550" spans="3:14">
      <c r="C3550" s="9"/>
      <c r="D3550" s="7" t="e">
        <f>SUMIF(B$3:B$3844,B3550,M$3:M$3844)/(SUMIF(B$3:B$3844,B3550,J$3:J$3844))</f>
        <v>#DIV/0!</v>
      </c>
      <c r="E3550" s="10"/>
      <c r="F3550" s="18"/>
      <c r="G3550" s="5"/>
      <c r="H3550" s="5"/>
      <c r="I3550" s="11"/>
      <c r="J3550" s="11"/>
      <c r="K3550" s="38"/>
      <c r="L3550" s="39"/>
      <c r="M3550" s="42">
        <f>IF(L3550="",I3550,(MIN(J3550,(L3550*1.6*J3550))))</f>
        <v>0</v>
      </c>
      <c r="N3550" s="43">
        <f>IF(M3550=0,0,(M3550/J3550))</f>
        <v>0</v>
      </c>
    </row>
    <row r="3551" spans="3:14">
      <c r="C3551" s="9"/>
      <c r="D3551" s="7" t="e">
        <f>SUMIF(B$3:B$3844,B3551,M$3:M$3844)/(SUMIF(B$3:B$3844,B3551,J$3:J$3844))</f>
        <v>#DIV/0!</v>
      </c>
      <c r="E3551" s="10"/>
      <c r="F3551" s="18"/>
      <c r="G3551" s="5"/>
      <c r="H3551" s="5"/>
      <c r="I3551" s="11"/>
      <c r="J3551" s="11"/>
      <c r="K3551" s="38"/>
      <c r="L3551" s="39"/>
      <c r="M3551" s="42">
        <f>IF(L3551="",I3551,(MIN(J3551,(L3551*1.6*J3551))))</f>
        <v>0</v>
      </c>
      <c r="N3551" s="43">
        <f>IF(M3551=0,0,(M3551/J3551))</f>
        <v>0</v>
      </c>
    </row>
    <row r="3552" spans="3:14">
      <c r="C3552" s="9"/>
      <c r="D3552" s="7" t="e">
        <f>SUMIF(B$3:B$3844,B3552,M$3:M$3844)/(SUMIF(B$3:B$3844,B3552,J$3:J$3844))</f>
        <v>#DIV/0!</v>
      </c>
      <c r="E3552" s="10"/>
      <c r="F3552" s="18"/>
      <c r="G3552" s="5"/>
      <c r="H3552" s="5"/>
      <c r="I3552" s="11"/>
      <c r="J3552" s="11"/>
      <c r="K3552" s="38"/>
      <c r="L3552" s="39"/>
      <c r="M3552" s="42">
        <f>IF(L3552="",I3552,(MIN(J3552,(L3552*1.6*J3552))))</f>
        <v>0</v>
      </c>
      <c r="N3552" s="43">
        <f>IF(M3552=0,0,(M3552/J3552))</f>
        <v>0</v>
      </c>
    </row>
    <row r="3553" spans="3:14">
      <c r="C3553" s="9"/>
      <c r="D3553" s="7" t="e">
        <f>SUMIF(B$3:B$3844,B3553,M$3:M$3844)/(SUMIF(B$3:B$3844,B3553,J$3:J$3844))</f>
        <v>#DIV/0!</v>
      </c>
      <c r="E3553" s="10"/>
      <c r="F3553" s="18"/>
      <c r="G3553" s="5"/>
      <c r="H3553" s="5"/>
      <c r="I3553" s="11"/>
      <c r="J3553" s="11"/>
      <c r="K3553" s="38"/>
      <c r="L3553" s="39"/>
      <c r="M3553" s="42">
        <f>IF(L3553="",I3553,(MIN(J3553,(L3553*1.6*J3553))))</f>
        <v>0</v>
      </c>
      <c r="N3553" s="43">
        <f>IF(M3553=0,0,(M3553/J3553))</f>
        <v>0</v>
      </c>
    </row>
    <row r="3554" spans="3:14">
      <c r="C3554" s="9"/>
      <c r="D3554" s="7" t="e">
        <f>SUMIF(B$3:B$3844,B3554,M$3:M$3844)/(SUMIF(B$3:B$3844,B3554,J$3:J$3844))</f>
        <v>#DIV/0!</v>
      </c>
      <c r="E3554" s="10"/>
      <c r="F3554" s="18"/>
      <c r="G3554" s="5"/>
      <c r="H3554" s="5"/>
      <c r="I3554" s="11"/>
      <c r="J3554" s="11"/>
      <c r="K3554" s="38"/>
      <c r="L3554" s="39"/>
      <c r="M3554" s="42">
        <f>IF(L3554="",I3554,(MIN(J3554,(L3554*1.6*J3554))))</f>
        <v>0</v>
      </c>
      <c r="N3554" s="43">
        <f>IF(M3554=0,0,(M3554/J3554))</f>
        <v>0</v>
      </c>
    </row>
    <row r="3555" spans="3:14">
      <c r="C3555" s="9"/>
      <c r="D3555" s="7" t="e">
        <f>SUMIF(B$3:B$3844,B3555,M$3:M$3844)/(SUMIF(B$3:B$3844,B3555,J$3:J$3844))</f>
        <v>#DIV/0!</v>
      </c>
      <c r="E3555" s="10"/>
      <c r="F3555" s="18"/>
      <c r="G3555" s="5"/>
      <c r="H3555" s="5"/>
      <c r="I3555" s="11"/>
      <c r="J3555" s="11"/>
      <c r="K3555" s="38"/>
      <c r="L3555" s="39"/>
      <c r="M3555" s="42">
        <f>IF(L3555="",I3555,(MIN(J3555,(L3555*1.6*J3555))))</f>
        <v>0</v>
      </c>
      <c r="N3555" s="43">
        <f>IF(M3555=0,0,(M3555/J3555))</f>
        <v>0</v>
      </c>
    </row>
    <row r="3556" spans="3:14">
      <c r="C3556" s="9"/>
      <c r="D3556" s="7" t="e">
        <f>SUMIF(B$3:B$3844,B3556,M$3:M$3844)/(SUMIF(B$3:B$3844,B3556,J$3:J$3844))</f>
        <v>#DIV/0!</v>
      </c>
      <c r="E3556" s="10"/>
      <c r="F3556" s="18"/>
      <c r="G3556" s="5"/>
      <c r="H3556" s="5"/>
      <c r="I3556" s="11"/>
      <c r="J3556" s="11"/>
      <c r="K3556" s="38"/>
      <c r="L3556" s="39"/>
      <c r="M3556" s="42">
        <f>IF(L3556="",I3556,(MIN(J3556,(L3556*1.6*J3556))))</f>
        <v>0</v>
      </c>
      <c r="N3556" s="43">
        <f>IF(M3556=0,0,(M3556/J3556))</f>
        <v>0</v>
      </c>
    </row>
    <row r="3557" spans="3:14">
      <c r="C3557" s="9"/>
      <c r="D3557" s="7" t="e">
        <f>SUMIF(B$3:B$3844,B3557,M$3:M$3844)/(SUMIF(B$3:B$3844,B3557,J$3:J$3844))</f>
        <v>#DIV/0!</v>
      </c>
      <c r="E3557" s="10"/>
      <c r="F3557" s="18"/>
      <c r="G3557" s="5"/>
      <c r="H3557" s="5"/>
      <c r="I3557" s="11"/>
      <c r="J3557" s="11"/>
      <c r="K3557" s="38"/>
      <c r="L3557" s="39"/>
      <c r="M3557" s="42">
        <f>IF(L3557="",I3557,(MIN(J3557,(L3557*1.6*J3557))))</f>
        <v>0</v>
      </c>
      <c r="N3557" s="43">
        <f>IF(M3557=0,0,(M3557/J3557))</f>
        <v>0</v>
      </c>
    </row>
    <row r="3558" spans="3:14">
      <c r="C3558" s="9"/>
      <c r="D3558" s="7" t="e">
        <f>SUMIF(B$3:B$3844,B3558,M$3:M$3844)/(SUMIF(B$3:B$3844,B3558,J$3:J$3844))</f>
        <v>#DIV/0!</v>
      </c>
      <c r="E3558" s="10"/>
      <c r="F3558" s="18"/>
      <c r="G3558" s="5"/>
      <c r="H3558" s="5"/>
      <c r="I3558" s="11"/>
      <c r="J3558" s="11"/>
      <c r="K3558" s="38"/>
      <c r="L3558" s="39"/>
      <c r="M3558" s="42">
        <f>IF(L3558="",I3558,(MIN(J3558,(L3558*1.6*J3558))))</f>
        <v>0</v>
      </c>
      <c r="N3558" s="43">
        <f>IF(M3558=0,0,(M3558/J3558))</f>
        <v>0</v>
      </c>
    </row>
    <row r="3559" spans="3:14">
      <c r="C3559" s="9"/>
      <c r="D3559" s="7" t="e">
        <f>SUMIF(B$3:B$3844,B3559,M$3:M$3844)/(SUMIF(B$3:B$3844,B3559,J$3:J$3844))</f>
        <v>#DIV/0!</v>
      </c>
      <c r="E3559" s="10"/>
      <c r="F3559" s="18"/>
      <c r="G3559" s="5"/>
      <c r="H3559" s="5"/>
      <c r="I3559" s="11"/>
      <c r="J3559" s="11"/>
      <c r="K3559" s="38"/>
      <c r="L3559" s="39"/>
      <c r="M3559" s="42">
        <f>IF(L3559="",I3559,(MIN(J3559,(L3559*1.6*J3559))))</f>
        <v>0</v>
      </c>
      <c r="N3559" s="43">
        <f>IF(M3559=0,0,(M3559/J3559))</f>
        <v>0</v>
      </c>
    </row>
    <row r="3560" spans="3:14">
      <c r="C3560" s="9"/>
      <c r="D3560" s="7" t="e">
        <f>SUMIF(B$3:B$3844,B3560,M$3:M$3844)/(SUMIF(B$3:B$3844,B3560,J$3:J$3844))</f>
        <v>#DIV/0!</v>
      </c>
      <c r="E3560" s="10"/>
      <c r="F3560" s="18"/>
      <c r="G3560" s="5"/>
      <c r="H3560" s="5"/>
      <c r="I3560" s="11"/>
      <c r="J3560" s="11"/>
      <c r="K3560" s="38"/>
      <c r="L3560" s="39"/>
      <c r="M3560" s="42">
        <f>IF(L3560="",I3560,(MIN(J3560,(L3560*1.6*J3560))))</f>
        <v>0</v>
      </c>
      <c r="N3560" s="43">
        <f>IF(M3560=0,0,(M3560/J3560))</f>
        <v>0</v>
      </c>
    </row>
    <row r="3561" spans="3:14">
      <c r="C3561" s="9"/>
      <c r="D3561" s="7" t="e">
        <f>SUMIF(B$3:B$3844,B3561,M$3:M$3844)/(SUMIF(B$3:B$3844,B3561,J$3:J$3844))</f>
        <v>#DIV/0!</v>
      </c>
      <c r="E3561" s="10"/>
      <c r="F3561" s="18"/>
      <c r="G3561" s="5"/>
      <c r="H3561" s="5"/>
      <c r="I3561" s="11"/>
      <c r="J3561" s="11"/>
      <c r="K3561" s="38"/>
      <c r="L3561" s="39"/>
      <c r="M3561" s="42">
        <f>IF(L3561="",I3561,(MIN(J3561,(L3561*1.6*J3561))))</f>
        <v>0</v>
      </c>
      <c r="N3561" s="43">
        <f>IF(M3561=0,0,(M3561/J3561))</f>
        <v>0</v>
      </c>
    </row>
    <row r="3562" spans="3:14">
      <c r="C3562" s="9"/>
      <c r="D3562" s="7" t="e">
        <f>SUMIF(B$3:B$3844,B3562,M$3:M$3844)/(SUMIF(B$3:B$3844,B3562,J$3:J$3844))</f>
        <v>#DIV/0!</v>
      </c>
      <c r="E3562" s="10"/>
      <c r="F3562" s="18"/>
      <c r="G3562" s="5"/>
      <c r="H3562" s="5"/>
      <c r="I3562" s="11"/>
      <c r="J3562" s="11"/>
      <c r="K3562" s="38"/>
      <c r="L3562" s="39"/>
      <c r="M3562" s="42">
        <f>IF(L3562="",I3562,(MIN(J3562,(L3562*1.6*J3562))))</f>
        <v>0</v>
      </c>
      <c r="N3562" s="43">
        <f>IF(M3562=0,0,(M3562/J3562))</f>
        <v>0</v>
      </c>
    </row>
    <row r="3563" spans="3:14">
      <c r="C3563" s="9"/>
      <c r="D3563" s="7" t="e">
        <f>SUMIF(B$3:B$3844,B3563,M$3:M$3844)/(SUMIF(B$3:B$3844,B3563,J$3:J$3844))</f>
        <v>#DIV/0!</v>
      </c>
      <c r="E3563" s="10"/>
      <c r="F3563" s="18"/>
      <c r="G3563" s="5"/>
      <c r="H3563" s="5"/>
      <c r="I3563" s="11"/>
      <c r="J3563" s="11"/>
      <c r="K3563" s="38"/>
      <c r="L3563" s="39"/>
      <c r="M3563" s="42">
        <f>IF(L3563="",I3563,(MIN(J3563,(L3563*1.6*J3563))))</f>
        <v>0</v>
      </c>
      <c r="N3563" s="43">
        <f>IF(M3563=0,0,(M3563/J3563))</f>
        <v>0</v>
      </c>
    </row>
    <row r="3564" spans="3:14">
      <c r="C3564" s="9"/>
      <c r="D3564" s="7" t="e">
        <f>SUMIF(B$3:B$3844,B3564,M$3:M$3844)/(SUMIF(B$3:B$3844,B3564,J$3:J$3844))</f>
        <v>#DIV/0!</v>
      </c>
      <c r="E3564" s="10"/>
      <c r="F3564" s="18"/>
      <c r="G3564" s="5"/>
      <c r="H3564" s="5"/>
      <c r="I3564" s="11"/>
      <c r="J3564" s="11"/>
      <c r="K3564" s="38"/>
      <c r="L3564" s="39"/>
      <c r="M3564" s="42">
        <f>IF(L3564="",I3564,(MIN(J3564,(L3564*1.6*J3564))))</f>
        <v>0</v>
      </c>
      <c r="N3564" s="43">
        <f>IF(M3564=0,0,(M3564/J3564))</f>
        <v>0</v>
      </c>
    </row>
    <row r="3565" spans="3:14">
      <c r="C3565" s="9"/>
      <c r="D3565" s="7" t="e">
        <f>SUMIF(B$3:B$3844,B3565,M$3:M$3844)/(SUMIF(B$3:B$3844,B3565,J$3:J$3844))</f>
        <v>#DIV/0!</v>
      </c>
      <c r="E3565" s="10"/>
      <c r="F3565" s="18"/>
      <c r="G3565" s="5"/>
      <c r="H3565" s="5"/>
      <c r="I3565" s="11"/>
      <c r="J3565" s="11"/>
      <c r="K3565" s="38"/>
      <c r="L3565" s="39"/>
      <c r="M3565" s="42">
        <f>IF(L3565="",I3565,(MIN(J3565,(L3565*1.6*J3565))))</f>
        <v>0</v>
      </c>
      <c r="N3565" s="43">
        <f>IF(M3565=0,0,(M3565/J3565))</f>
        <v>0</v>
      </c>
    </row>
    <row r="3566" spans="3:14">
      <c r="C3566" s="9"/>
      <c r="D3566" s="7" t="e">
        <f>SUMIF(B$3:B$3844,B3566,M$3:M$3844)/(SUMIF(B$3:B$3844,B3566,J$3:J$3844))</f>
        <v>#DIV/0!</v>
      </c>
      <c r="E3566" s="10"/>
      <c r="F3566" s="18"/>
      <c r="G3566" s="5"/>
      <c r="H3566" s="5"/>
      <c r="I3566" s="11"/>
      <c r="J3566" s="11"/>
      <c r="K3566" s="38"/>
      <c r="L3566" s="39"/>
      <c r="M3566" s="42">
        <f>IF(L3566="",I3566,(MIN(J3566,(L3566*1.6*J3566))))</f>
        <v>0</v>
      </c>
      <c r="N3566" s="43">
        <f>IF(M3566=0,0,(M3566/J3566))</f>
        <v>0</v>
      </c>
    </row>
    <row r="3567" spans="3:14">
      <c r="C3567" s="9"/>
      <c r="D3567" s="7" t="e">
        <f>SUMIF(B$3:B$3844,B3567,M$3:M$3844)/(SUMIF(B$3:B$3844,B3567,J$3:J$3844))</f>
        <v>#DIV/0!</v>
      </c>
      <c r="E3567" s="10"/>
      <c r="F3567" s="18"/>
      <c r="G3567" s="5"/>
      <c r="H3567" s="5"/>
      <c r="I3567" s="11"/>
      <c r="J3567" s="11"/>
      <c r="K3567" s="38"/>
      <c r="L3567" s="39"/>
      <c r="M3567" s="42">
        <f>IF(L3567="",I3567,(MIN(J3567,(L3567*1.6*J3567))))</f>
        <v>0</v>
      </c>
      <c r="N3567" s="43">
        <f>IF(M3567=0,0,(M3567/J3567))</f>
        <v>0</v>
      </c>
    </row>
    <row r="3568" spans="3:14">
      <c r="C3568" s="9"/>
      <c r="D3568" s="7" t="e">
        <f>SUMIF(B$3:B$3844,B3568,M$3:M$3844)/(SUMIF(B$3:B$3844,B3568,J$3:J$3844))</f>
        <v>#DIV/0!</v>
      </c>
      <c r="E3568" s="10"/>
      <c r="F3568" s="18"/>
      <c r="G3568" s="5"/>
      <c r="H3568" s="5"/>
      <c r="I3568" s="11"/>
      <c r="J3568" s="11"/>
      <c r="K3568" s="38"/>
      <c r="L3568" s="39"/>
      <c r="M3568" s="42">
        <f>IF(L3568="",I3568,(MIN(J3568,(L3568*1.6*J3568))))</f>
        <v>0</v>
      </c>
      <c r="N3568" s="43">
        <f>IF(M3568=0,0,(M3568/J3568))</f>
        <v>0</v>
      </c>
    </row>
    <row r="3569" spans="3:14">
      <c r="C3569" s="9"/>
      <c r="D3569" s="7" t="e">
        <f>SUMIF(B$3:B$3844,B3569,M$3:M$3844)/(SUMIF(B$3:B$3844,B3569,J$3:J$3844))</f>
        <v>#DIV/0!</v>
      </c>
      <c r="E3569" s="10"/>
      <c r="F3569" s="18"/>
      <c r="G3569" s="5"/>
      <c r="H3569" s="5"/>
      <c r="I3569" s="11"/>
      <c r="J3569" s="11"/>
      <c r="K3569" s="38"/>
      <c r="L3569" s="39"/>
      <c r="M3569" s="42">
        <f>IF(L3569="",I3569,(MIN(J3569,(L3569*1.6*J3569))))</f>
        <v>0</v>
      </c>
      <c r="N3569" s="43">
        <f>IF(M3569=0,0,(M3569/J3569))</f>
        <v>0</v>
      </c>
    </row>
    <row r="3570" spans="3:14">
      <c r="C3570" s="9"/>
      <c r="D3570" s="7" t="e">
        <f>SUMIF(B$3:B$3844,B3570,M$3:M$3844)/(SUMIF(B$3:B$3844,B3570,J$3:J$3844))</f>
        <v>#DIV/0!</v>
      </c>
      <c r="E3570" s="10"/>
      <c r="F3570" s="18"/>
      <c r="G3570" s="5"/>
      <c r="H3570" s="5"/>
      <c r="I3570" s="11"/>
      <c r="J3570" s="11"/>
      <c r="K3570" s="38"/>
      <c r="L3570" s="39"/>
      <c r="M3570" s="42">
        <f>IF(L3570="",I3570,(MIN(J3570,(L3570*1.6*J3570))))</f>
        <v>0</v>
      </c>
      <c r="N3570" s="43">
        <f>IF(M3570=0,0,(M3570/J3570))</f>
        <v>0</v>
      </c>
    </row>
    <row r="3571" spans="3:14">
      <c r="C3571" s="9"/>
      <c r="D3571" s="7" t="e">
        <f>SUMIF(B$3:B$3844,B3571,M$3:M$3844)/(SUMIF(B$3:B$3844,B3571,J$3:J$3844))</f>
        <v>#DIV/0!</v>
      </c>
      <c r="E3571" s="10"/>
      <c r="F3571" s="18"/>
      <c r="G3571" s="5"/>
      <c r="H3571" s="5"/>
      <c r="I3571" s="11"/>
      <c r="J3571" s="11"/>
      <c r="K3571" s="38"/>
      <c r="L3571" s="39"/>
      <c r="M3571" s="42">
        <f>IF(L3571="",I3571,(MIN(J3571,(L3571*1.6*J3571))))</f>
        <v>0</v>
      </c>
      <c r="N3571" s="43">
        <f>IF(M3571=0,0,(M3571/J3571))</f>
        <v>0</v>
      </c>
    </row>
    <row r="3572" spans="3:14">
      <c r="C3572" s="9"/>
      <c r="D3572" s="7" t="e">
        <f>SUMIF(B$3:B$3844,B3572,M$3:M$3844)/(SUMIF(B$3:B$3844,B3572,J$3:J$3844))</f>
        <v>#DIV/0!</v>
      </c>
      <c r="E3572" s="10"/>
      <c r="F3572" s="18"/>
      <c r="G3572" s="5"/>
      <c r="H3572" s="5"/>
      <c r="I3572" s="11"/>
      <c r="J3572" s="11"/>
      <c r="K3572" s="38"/>
      <c r="L3572" s="39"/>
      <c r="M3572" s="42">
        <f>IF(L3572="",I3572,(MIN(J3572,(L3572*1.6*J3572))))</f>
        <v>0</v>
      </c>
      <c r="N3572" s="43">
        <f>IF(M3572=0,0,(M3572/J3572))</f>
        <v>0</v>
      </c>
    </row>
    <row r="3573" spans="3:14">
      <c r="C3573" s="9"/>
      <c r="D3573" s="7" t="e">
        <f>SUMIF(B$3:B$3844,B3573,M$3:M$3844)/(SUMIF(B$3:B$3844,B3573,J$3:J$3844))</f>
        <v>#DIV/0!</v>
      </c>
      <c r="E3573" s="10"/>
      <c r="F3573" s="18"/>
      <c r="G3573" s="5"/>
      <c r="H3573" s="5"/>
      <c r="I3573" s="11"/>
      <c r="J3573" s="11"/>
      <c r="K3573" s="38"/>
      <c r="L3573" s="39"/>
      <c r="M3573" s="42">
        <f>IF(L3573="",I3573,(MIN(J3573,(L3573*1.6*J3573))))</f>
        <v>0</v>
      </c>
      <c r="N3573" s="43">
        <f>IF(M3573=0,0,(M3573/J3573))</f>
        <v>0</v>
      </c>
    </row>
    <row r="3574" spans="3:14">
      <c r="C3574" s="9"/>
      <c r="D3574" s="7" t="e">
        <f>SUMIF(B$3:B$3844,B3574,M$3:M$3844)/(SUMIF(B$3:B$3844,B3574,J$3:J$3844))</f>
        <v>#DIV/0!</v>
      </c>
      <c r="E3574" s="10"/>
      <c r="F3574" s="18"/>
      <c r="G3574" s="5"/>
      <c r="H3574" s="5"/>
      <c r="I3574" s="11"/>
      <c r="J3574" s="11"/>
      <c r="K3574" s="38"/>
      <c r="L3574" s="39"/>
      <c r="M3574" s="42">
        <f>IF(L3574="",I3574,(MIN(J3574,(L3574*1.6*J3574))))</f>
        <v>0</v>
      </c>
      <c r="N3574" s="43">
        <f>IF(M3574=0,0,(M3574/J3574))</f>
        <v>0</v>
      </c>
    </row>
    <row r="3575" spans="3:14">
      <c r="C3575" s="9"/>
      <c r="D3575" s="7" t="e">
        <f>SUMIF(B$3:B$3844,B3575,M$3:M$3844)/(SUMIF(B$3:B$3844,B3575,J$3:J$3844))</f>
        <v>#DIV/0!</v>
      </c>
      <c r="E3575" s="10"/>
      <c r="F3575" s="18"/>
      <c r="G3575" s="5"/>
      <c r="H3575" s="5"/>
      <c r="I3575" s="11"/>
      <c r="J3575" s="11"/>
      <c r="K3575" s="38"/>
      <c r="L3575" s="39"/>
      <c r="M3575" s="42">
        <f>IF(L3575="",I3575,(MIN(J3575,(L3575*1.6*J3575))))</f>
        <v>0</v>
      </c>
      <c r="N3575" s="43">
        <f>IF(M3575=0,0,(M3575/J3575))</f>
        <v>0</v>
      </c>
    </row>
    <row r="3576" spans="3:14">
      <c r="C3576" s="9"/>
      <c r="D3576" s="7" t="e">
        <f>SUMIF(B$3:B$3844,B3576,M$3:M$3844)/(SUMIF(B$3:B$3844,B3576,J$3:J$3844))</f>
        <v>#DIV/0!</v>
      </c>
      <c r="E3576" s="10"/>
      <c r="F3576" s="18"/>
      <c r="G3576" s="5"/>
      <c r="H3576" s="5"/>
      <c r="I3576" s="11"/>
      <c r="J3576" s="11"/>
      <c r="K3576" s="38"/>
      <c r="L3576" s="39"/>
      <c r="M3576" s="42">
        <f>IF(L3576="",I3576,(MIN(J3576,(L3576*1.6*J3576))))</f>
        <v>0</v>
      </c>
      <c r="N3576" s="43">
        <f>IF(M3576=0,0,(M3576/J3576))</f>
        <v>0</v>
      </c>
    </row>
    <row r="3577" spans="3:14">
      <c r="C3577" s="9"/>
      <c r="D3577" s="7" t="e">
        <f>SUMIF(B$3:B$3844,B3577,M$3:M$3844)/(SUMIF(B$3:B$3844,B3577,J$3:J$3844))</f>
        <v>#DIV/0!</v>
      </c>
      <c r="E3577" s="10"/>
      <c r="F3577" s="18"/>
      <c r="G3577" s="5"/>
      <c r="H3577" s="5"/>
      <c r="I3577" s="11"/>
      <c r="J3577" s="11"/>
      <c r="K3577" s="38"/>
      <c r="L3577" s="39"/>
      <c r="M3577" s="42">
        <f>IF(L3577="",I3577,(MIN(J3577,(L3577*1.6*J3577))))</f>
        <v>0</v>
      </c>
      <c r="N3577" s="43">
        <f>IF(M3577=0,0,(M3577/J3577))</f>
        <v>0</v>
      </c>
    </row>
    <row r="3578" spans="3:14">
      <c r="C3578" s="9"/>
      <c r="D3578" s="7" t="e">
        <f>SUMIF(B$3:B$3844,B3578,M$3:M$3844)/(SUMIF(B$3:B$3844,B3578,J$3:J$3844))</f>
        <v>#DIV/0!</v>
      </c>
      <c r="E3578" s="10"/>
      <c r="F3578" s="18"/>
      <c r="G3578" s="5"/>
      <c r="H3578" s="5"/>
      <c r="I3578" s="11"/>
      <c r="J3578" s="11"/>
      <c r="K3578" s="38"/>
      <c r="L3578" s="39"/>
      <c r="M3578" s="42">
        <f>IF(L3578="",I3578,(MIN(J3578,(L3578*1.6*J3578))))</f>
        <v>0</v>
      </c>
      <c r="N3578" s="43">
        <f>IF(M3578=0,0,(M3578/J3578))</f>
        <v>0</v>
      </c>
    </row>
    <row r="3579" spans="3:14">
      <c r="C3579" s="9"/>
      <c r="D3579" s="7" t="e">
        <f>SUMIF(B$3:B$3844,B3579,M$3:M$3844)/(SUMIF(B$3:B$3844,B3579,J$3:J$3844))</f>
        <v>#DIV/0!</v>
      </c>
      <c r="E3579" s="10"/>
      <c r="F3579" s="18"/>
      <c r="G3579" s="5"/>
      <c r="H3579" s="5"/>
      <c r="I3579" s="11"/>
      <c r="J3579" s="11"/>
      <c r="K3579" s="38"/>
      <c r="L3579" s="39"/>
      <c r="M3579" s="42">
        <f>IF(L3579="",I3579,(MIN(J3579,(L3579*1.6*J3579))))</f>
        <v>0</v>
      </c>
      <c r="N3579" s="43">
        <f>IF(M3579=0,0,(M3579/J3579))</f>
        <v>0</v>
      </c>
    </row>
    <row r="3580" spans="3:14">
      <c r="C3580" s="9"/>
      <c r="D3580" s="7" t="e">
        <f>SUMIF(B$3:B$3844,B3580,M$3:M$3844)/(SUMIF(B$3:B$3844,B3580,J$3:J$3844))</f>
        <v>#DIV/0!</v>
      </c>
      <c r="E3580" s="10"/>
      <c r="F3580" s="18"/>
      <c r="G3580" s="5"/>
      <c r="H3580" s="5"/>
      <c r="I3580" s="11"/>
      <c r="J3580" s="11"/>
      <c r="K3580" s="38"/>
      <c r="L3580" s="39"/>
      <c r="M3580" s="42">
        <f>IF(L3580="",I3580,(MIN(J3580,(L3580*1.6*J3580))))</f>
        <v>0</v>
      </c>
      <c r="N3580" s="43">
        <f>IF(M3580=0,0,(M3580/J3580))</f>
        <v>0</v>
      </c>
    </row>
    <row r="3581" spans="3:14">
      <c r="C3581" s="9"/>
      <c r="D3581" s="7" t="e">
        <f>SUMIF(B$3:B$3844,B3581,M$3:M$3844)/(SUMIF(B$3:B$3844,B3581,J$3:J$3844))</f>
        <v>#DIV/0!</v>
      </c>
      <c r="E3581" s="10"/>
      <c r="F3581" s="18"/>
      <c r="G3581" s="5"/>
      <c r="H3581" s="5"/>
      <c r="I3581" s="11"/>
      <c r="J3581" s="11"/>
      <c r="K3581" s="38"/>
      <c r="L3581" s="39"/>
      <c r="M3581" s="42">
        <f>IF(L3581="",I3581,(MIN(J3581,(L3581*1.6*J3581))))</f>
        <v>0</v>
      </c>
      <c r="N3581" s="43">
        <f>IF(M3581=0,0,(M3581/J3581))</f>
        <v>0</v>
      </c>
    </row>
    <row r="3582" spans="3:14">
      <c r="C3582" s="9"/>
      <c r="D3582" s="7" t="e">
        <f>SUMIF(B$3:B$3844,B3582,M$3:M$3844)/(SUMIF(B$3:B$3844,B3582,J$3:J$3844))</f>
        <v>#DIV/0!</v>
      </c>
      <c r="E3582" s="10"/>
      <c r="F3582" s="18"/>
      <c r="G3582" s="5"/>
      <c r="H3582" s="5"/>
      <c r="I3582" s="11"/>
      <c r="J3582" s="11"/>
      <c r="K3582" s="38"/>
      <c r="L3582" s="39"/>
      <c r="M3582" s="42">
        <f>IF(L3582="",I3582,(MIN(J3582,(L3582*1.6*J3582))))</f>
        <v>0</v>
      </c>
      <c r="N3582" s="43">
        <f>IF(M3582=0,0,(M3582/J3582))</f>
        <v>0</v>
      </c>
    </row>
    <row r="3583" spans="3:14">
      <c r="C3583" s="9"/>
      <c r="D3583" s="7" t="e">
        <f>SUMIF(B$3:B$3844,B3583,M$3:M$3844)/(SUMIF(B$3:B$3844,B3583,J$3:J$3844))</f>
        <v>#DIV/0!</v>
      </c>
      <c r="E3583" s="10"/>
      <c r="F3583" s="18"/>
      <c r="G3583" s="5"/>
      <c r="H3583" s="5"/>
      <c r="I3583" s="11"/>
      <c r="J3583" s="11"/>
      <c r="K3583" s="38"/>
      <c r="L3583" s="39"/>
      <c r="M3583" s="42">
        <f>IF(L3583="",I3583,(MIN(J3583,(L3583*1.6*J3583))))</f>
        <v>0</v>
      </c>
      <c r="N3583" s="43">
        <f>IF(M3583=0,0,(M3583/J3583))</f>
        <v>0</v>
      </c>
    </row>
    <row r="3584" spans="3:14">
      <c r="C3584" s="9"/>
      <c r="D3584" s="7" t="e">
        <f>SUMIF(B$3:B$3844,B3584,M$3:M$3844)/(SUMIF(B$3:B$3844,B3584,J$3:J$3844))</f>
        <v>#DIV/0!</v>
      </c>
      <c r="E3584" s="10"/>
      <c r="F3584" s="18"/>
      <c r="G3584" s="5"/>
      <c r="H3584" s="5"/>
      <c r="I3584" s="11"/>
      <c r="J3584" s="11"/>
      <c r="K3584" s="38"/>
      <c r="L3584" s="39"/>
      <c r="M3584" s="42">
        <f>IF(L3584="",I3584,(MIN(J3584,(L3584*1.6*J3584))))</f>
        <v>0</v>
      </c>
      <c r="N3584" s="43">
        <f>IF(M3584=0,0,(M3584/J3584))</f>
        <v>0</v>
      </c>
    </row>
    <row r="3585" spans="3:14">
      <c r="C3585" s="9"/>
      <c r="D3585" s="7" t="e">
        <f>SUMIF(B$3:B$3844,B3585,M$3:M$3844)/(SUMIF(B$3:B$3844,B3585,J$3:J$3844))</f>
        <v>#DIV/0!</v>
      </c>
      <c r="E3585" s="10"/>
      <c r="F3585" s="18"/>
      <c r="G3585" s="5"/>
      <c r="H3585" s="5"/>
      <c r="I3585" s="11"/>
      <c r="J3585" s="11"/>
      <c r="K3585" s="38"/>
      <c r="L3585" s="39"/>
      <c r="M3585" s="42">
        <f>IF(L3585="",I3585,(MIN(J3585,(L3585*1.6*J3585))))</f>
        <v>0</v>
      </c>
      <c r="N3585" s="43">
        <f>IF(M3585=0,0,(M3585/J3585))</f>
        <v>0</v>
      </c>
    </row>
    <row r="3586" spans="3:14">
      <c r="C3586" s="9"/>
      <c r="D3586" s="7" t="e">
        <f>SUMIF(B$3:B$3844,B3586,M$3:M$3844)/(SUMIF(B$3:B$3844,B3586,J$3:J$3844))</f>
        <v>#DIV/0!</v>
      </c>
      <c r="E3586" s="10"/>
      <c r="F3586" s="18"/>
      <c r="G3586" s="5"/>
      <c r="H3586" s="5"/>
      <c r="I3586" s="11"/>
      <c r="J3586" s="11"/>
      <c r="K3586" s="38"/>
      <c r="L3586" s="39"/>
      <c r="M3586" s="42">
        <f>IF(L3586="",I3586,(MIN(J3586,(L3586*1.6*J3586))))</f>
        <v>0</v>
      </c>
      <c r="N3586" s="43">
        <f>IF(M3586=0,0,(M3586/J3586))</f>
        <v>0</v>
      </c>
    </row>
    <row r="3587" spans="3:14">
      <c r="C3587" s="9"/>
      <c r="D3587" s="7" t="e">
        <f>SUMIF(B$3:B$3844,B3587,M$3:M$3844)/(SUMIF(B$3:B$3844,B3587,J$3:J$3844))</f>
        <v>#DIV/0!</v>
      </c>
      <c r="E3587" s="10"/>
      <c r="F3587" s="18"/>
      <c r="G3587" s="5"/>
      <c r="H3587" s="5"/>
      <c r="I3587" s="11"/>
      <c r="J3587" s="11"/>
      <c r="K3587" s="38"/>
      <c r="L3587" s="39"/>
      <c r="M3587" s="42">
        <f>IF(L3587="",I3587,(MIN(J3587,(L3587*1.6*J3587))))</f>
        <v>0</v>
      </c>
      <c r="N3587" s="43">
        <f>IF(M3587=0,0,(M3587/J3587))</f>
        <v>0</v>
      </c>
    </row>
    <row r="3588" spans="3:14">
      <c r="C3588" s="9"/>
      <c r="D3588" s="7" t="e">
        <f>SUMIF(B$3:B$3844,B3588,M$3:M$3844)/(SUMIF(B$3:B$3844,B3588,J$3:J$3844))</f>
        <v>#DIV/0!</v>
      </c>
      <c r="E3588" s="10"/>
      <c r="F3588" s="18"/>
      <c r="G3588" s="5"/>
      <c r="H3588" s="5"/>
      <c r="I3588" s="11"/>
      <c r="J3588" s="11"/>
      <c r="K3588" s="38"/>
      <c r="L3588" s="39"/>
      <c r="M3588" s="42">
        <f>IF(L3588="",I3588,(MIN(J3588,(L3588*1.6*J3588))))</f>
        <v>0</v>
      </c>
      <c r="N3588" s="43">
        <f>IF(M3588=0,0,(M3588/J3588))</f>
        <v>0</v>
      </c>
    </row>
    <row r="3589" spans="3:14">
      <c r="C3589" s="9"/>
      <c r="D3589" s="7" t="e">
        <f>SUMIF(B$3:B$3844,B3589,M$3:M$3844)/(SUMIF(B$3:B$3844,B3589,J$3:J$3844))</f>
        <v>#DIV/0!</v>
      </c>
      <c r="E3589" s="10"/>
      <c r="F3589" s="18"/>
      <c r="G3589" s="5"/>
      <c r="H3589" s="5"/>
      <c r="I3589" s="11"/>
      <c r="J3589" s="11"/>
      <c r="K3589" s="38"/>
      <c r="L3589" s="39"/>
      <c r="M3589" s="42">
        <f>IF(L3589="",I3589,(MIN(J3589,(L3589*1.6*J3589))))</f>
        <v>0</v>
      </c>
      <c r="N3589" s="43">
        <f>IF(M3589=0,0,(M3589/J3589))</f>
        <v>0</v>
      </c>
    </row>
    <row r="3590" spans="3:14">
      <c r="C3590" s="9"/>
      <c r="D3590" s="7" t="e">
        <f>SUMIF(B$3:B$3844,B3590,M$3:M$3844)/(SUMIF(B$3:B$3844,B3590,J$3:J$3844))</f>
        <v>#DIV/0!</v>
      </c>
      <c r="E3590" s="10"/>
      <c r="F3590" s="18"/>
      <c r="G3590" s="5"/>
      <c r="H3590" s="5"/>
      <c r="I3590" s="11"/>
      <c r="J3590" s="11"/>
      <c r="K3590" s="38"/>
      <c r="L3590" s="39"/>
      <c r="M3590" s="42">
        <f>IF(L3590="",I3590,(MIN(J3590,(L3590*1.6*J3590))))</f>
        <v>0</v>
      </c>
      <c r="N3590" s="43">
        <f>IF(M3590=0,0,(M3590/J3590))</f>
        <v>0</v>
      </c>
    </row>
    <row r="3591" spans="3:14">
      <c r="C3591" s="9"/>
      <c r="D3591" s="7" t="e">
        <f>SUMIF(B$3:B$3844,B3591,M$3:M$3844)/(SUMIF(B$3:B$3844,B3591,J$3:J$3844))</f>
        <v>#DIV/0!</v>
      </c>
      <c r="E3591" s="10"/>
      <c r="F3591" s="18"/>
      <c r="G3591" s="5"/>
      <c r="H3591" s="5"/>
      <c r="I3591" s="11"/>
      <c r="J3591" s="11"/>
      <c r="K3591" s="38"/>
      <c r="L3591" s="39"/>
      <c r="M3591" s="42">
        <f>IF(L3591="",I3591,(MIN(J3591,(L3591*1.6*J3591))))</f>
        <v>0</v>
      </c>
      <c r="N3591" s="43">
        <f>IF(M3591=0,0,(M3591/J3591))</f>
        <v>0</v>
      </c>
    </row>
    <row r="3592" spans="3:14">
      <c r="C3592" s="9"/>
      <c r="D3592" s="7" t="e">
        <f>SUMIF(B$3:B$3844,B3592,M$3:M$3844)/(SUMIF(B$3:B$3844,B3592,J$3:J$3844))</f>
        <v>#DIV/0!</v>
      </c>
      <c r="E3592" s="10"/>
      <c r="F3592" s="18"/>
      <c r="G3592" s="5"/>
      <c r="H3592" s="5"/>
      <c r="I3592" s="11"/>
      <c r="J3592" s="11"/>
      <c r="K3592" s="38"/>
      <c r="L3592" s="39"/>
      <c r="M3592" s="42">
        <f>IF(L3592="",I3592,(MIN(J3592,(L3592*1.6*J3592))))</f>
        <v>0</v>
      </c>
      <c r="N3592" s="43">
        <f>IF(M3592=0,0,(M3592/J3592))</f>
        <v>0</v>
      </c>
    </row>
    <row r="3593" spans="3:14">
      <c r="C3593" s="9"/>
      <c r="D3593" s="7" t="e">
        <f>SUMIF(B$3:B$3844,B3593,M$3:M$3844)/(SUMIF(B$3:B$3844,B3593,J$3:J$3844))</f>
        <v>#DIV/0!</v>
      </c>
      <c r="E3593" s="10"/>
      <c r="F3593" s="18"/>
      <c r="G3593" s="5"/>
      <c r="H3593" s="5"/>
      <c r="I3593" s="11"/>
      <c r="J3593" s="11"/>
      <c r="K3593" s="38"/>
      <c r="L3593" s="39"/>
      <c r="M3593" s="42">
        <f>IF(L3593="",I3593,(MIN(J3593,(L3593*1.6*J3593))))</f>
        <v>0</v>
      </c>
      <c r="N3593" s="43">
        <f>IF(M3593=0,0,(M3593/J3593))</f>
        <v>0</v>
      </c>
    </row>
    <row r="3594" spans="3:14">
      <c r="C3594" s="9"/>
      <c r="D3594" s="7" t="e">
        <f>SUMIF(B$3:B$3844,B3594,M$3:M$3844)/(SUMIF(B$3:B$3844,B3594,J$3:J$3844))</f>
        <v>#DIV/0!</v>
      </c>
      <c r="E3594" s="10"/>
      <c r="F3594" s="18"/>
      <c r="G3594" s="5"/>
      <c r="H3594" s="5"/>
      <c r="I3594" s="11"/>
      <c r="J3594" s="11"/>
      <c r="K3594" s="38"/>
      <c r="L3594" s="39"/>
      <c r="M3594" s="42">
        <f>IF(L3594="",I3594,(MIN(J3594,(L3594*1.6*J3594))))</f>
        <v>0</v>
      </c>
      <c r="N3594" s="43">
        <f>IF(M3594=0,0,(M3594/J3594))</f>
        <v>0</v>
      </c>
    </row>
    <row r="3595" spans="3:14">
      <c r="C3595" s="9"/>
      <c r="D3595" s="7" t="e">
        <f>SUMIF(B$3:B$3844,B3595,M$3:M$3844)/(SUMIF(B$3:B$3844,B3595,J$3:J$3844))</f>
        <v>#DIV/0!</v>
      </c>
      <c r="E3595" s="10"/>
      <c r="F3595" s="18"/>
      <c r="G3595" s="5"/>
      <c r="H3595" s="5"/>
      <c r="I3595" s="11"/>
      <c r="J3595" s="11"/>
      <c r="K3595" s="38"/>
      <c r="L3595" s="39"/>
      <c r="M3595" s="42">
        <f>IF(L3595="",I3595,(MIN(J3595,(L3595*1.6*J3595))))</f>
        <v>0</v>
      </c>
      <c r="N3595" s="43">
        <f>IF(M3595=0,0,(M3595/J3595))</f>
        <v>0</v>
      </c>
    </row>
    <row r="3596" spans="3:14">
      <c r="C3596" s="9"/>
      <c r="D3596" s="7" t="e">
        <f>SUMIF(B$3:B$3844,B3596,M$3:M$3844)/(SUMIF(B$3:B$3844,B3596,J$3:J$3844))</f>
        <v>#DIV/0!</v>
      </c>
      <c r="E3596" s="10"/>
      <c r="F3596" s="18"/>
      <c r="G3596" s="5"/>
      <c r="H3596" s="5"/>
      <c r="I3596" s="11"/>
      <c r="J3596" s="11"/>
      <c r="K3596" s="38"/>
      <c r="L3596" s="39"/>
      <c r="M3596" s="42">
        <f>IF(L3596="",I3596,(MIN(J3596,(L3596*1.6*J3596))))</f>
        <v>0</v>
      </c>
      <c r="N3596" s="43">
        <f>IF(M3596=0,0,(M3596/J3596))</f>
        <v>0</v>
      </c>
    </row>
    <row r="3597" spans="3:14">
      <c r="C3597" s="9"/>
      <c r="D3597" s="7" t="e">
        <f>SUMIF(B$3:B$3844,B3597,M$3:M$3844)/(SUMIF(B$3:B$3844,B3597,J$3:J$3844))</f>
        <v>#DIV/0!</v>
      </c>
      <c r="E3597" s="10"/>
      <c r="F3597" s="18"/>
      <c r="G3597" s="5"/>
      <c r="H3597" s="5"/>
      <c r="I3597" s="11"/>
      <c r="J3597" s="11"/>
      <c r="K3597" s="38"/>
      <c r="L3597" s="39"/>
      <c r="M3597" s="42">
        <f>IF(L3597="",I3597,(MIN(J3597,(L3597*1.6*J3597))))</f>
        <v>0</v>
      </c>
      <c r="N3597" s="43">
        <f>IF(M3597=0,0,(M3597/J3597))</f>
        <v>0</v>
      </c>
    </row>
    <row r="3598" spans="3:14">
      <c r="C3598" s="9"/>
      <c r="D3598" s="7" t="e">
        <f>SUMIF(B$3:B$3844,B3598,M$3:M$3844)/(SUMIF(B$3:B$3844,B3598,J$3:J$3844))</f>
        <v>#DIV/0!</v>
      </c>
      <c r="E3598" s="10"/>
      <c r="F3598" s="18"/>
      <c r="G3598" s="5"/>
      <c r="H3598" s="5"/>
      <c r="I3598" s="11"/>
      <c r="J3598" s="11"/>
      <c r="K3598" s="38"/>
      <c r="L3598" s="39"/>
      <c r="M3598" s="42">
        <f>IF(L3598="",I3598,(MIN(J3598,(L3598*1.6*J3598))))</f>
        <v>0</v>
      </c>
      <c r="N3598" s="43">
        <f>IF(M3598=0,0,(M3598/J3598))</f>
        <v>0</v>
      </c>
    </row>
    <row r="3599" spans="3:14">
      <c r="C3599" s="9"/>
      <c r="D3599" s="7" t="e">
        <f>SUMIF(B$3:B$3844,B3599,M$3:M$3844)/(SUMIF(B$3:B$3844,B3599,J$3:J$3844))</f>
        <v>#DIV/0!</v>
      </c>
      <c r="E3599" s="10"/>
      <c r="F3599" s="18"/>
      <c r="G3599" s="5"/>
      <c r="H3599" s="5"/>
      <c r="I3599" s="11"/>
      <c r="J3599" s="11"/>
      <c r="K3599" s="38"/>
      <c r="L3599" s="39"/>
      <c r="M3599" s="42">
        <f>IF(L3599="",I3599,(MIN(J3599,(L3599*1.6*J3599))))</f>
        <v>0</v>
      </c>
      <c r="N3599" s="43">
        <f>IF(M3599=0,0,(M3599/J3599))</f>
        <v>0</v>
      </c>
    </row>
    <row r="3600" spans="3:14">
      <c r="C3600" s="9"/>
      <c r="D3600" s="7" t="e">
        <f>SUMIF(B$3:B$3844,B3600,M$3:M$3844)/(SUMIF(B$3:B$3844,B3600,J$3:J$3844))</f>
        <v>#DIV/0!</v>
      </c>
      <c r="E3600" s="10"/>
      <c r="F3600" s="18"/>
      <c r="G3600" s="5"/>
      <c r="H3600" s="5"/>
      <c r="I3600" s="11"/>
      <c r="J3600" s="11"/>
      <c r="K3600" s="38"/>
      <c r="L3600" s="39"/>
      <c r="M3600" s="42">
        <f>IF(L3600="",I3600,(MIN(J3600,(L3600*1.6*J3600))))</f>
        <v>0</v>
      </c>
      <c r="N3600" s="43">
        <f>IF(M3600=0,0,(M3600/J3600))</f>
        <v>0</v>
      </c>
    </row>
    <row r="3601" spans="3:14">
      <c r="C3601" s="9"/>
      <c r="D3601" s="7" t="e">
        <f>SUMIF(B$3:B$3844,B3601,M$3:M$3844)/(SUMIF(B$3:B$3844,B3601,J$3:J$3844))</f>
        <v>#DIV/0!</v>
      </c>
      <c r="E3601" s="10"/>
      <c r="F3601" s="18"/>
      <c r="G3601" s="5"/>
      <c r="H3601" s="5"/>
      <c r="I3601" s="11"/>
      <c r="J3601" s="11"/>
      <c r="K3601" s="38"/>
      <c r="L3601" s="39"/>
      <c r="M3601" s="42">
        <f>IF(L3601="",I3601,(MIN(J3601,(L3601*1.6*J3601))))</f>
        <v>0</v>
      </c>
      <c r="N3601" s="43">
        <f>IF(M3601=0,0,(M3601/J3601))</f>
        <v>0</v>
      </c>
    </row>
    <row r="3602" spans="3:14">
      <c r="C3602" s="9"/>
      <c r="D3602" s="7" t="e">
        <f>SUMIF(B$3:B$3844,B3602,M$3:M$3844)/(SUMIF(B$3:B$3844,B3602,J$3:J$3844))</f>
        <v>#DIV/0!</v>
      </c>
      <c r="E3602" s="10"/>
      <c r="F3602" s="18"/>
      <c r="G3602" s="5"/>
      <c r="H3602" s="5"/>
      <c r="I3602" s="11"/>
      <c r="J3602" s="11"/>
      <c r="K3602" s="38"/>
      <c r="L3602" s="39"/>
      <c r="M3602" s="42">
        <f>IF(L3602="",I3602,(MIN(J3602,(L3602*1.6*J3602))))</f>
        <v>0</v>
      </c>
      <c r="N3602" s="43">
        <f>IF(M3602=0,0,(M3602/J3602))</f>
        <v>0</v>
      </c>
    </row>
    <row r="3603" spans="3:14">
      <c r="C3603" s="9"/>
      <c r="D3603" s="7" t="e">
        <f>SUMIF(B$3:B$3844,B3603,M$3:M$3844)/(SUMIF(B$3:B$3844,B3603,J$3:J$3844))</f>
        <v>#DIV/0!</v>
      </c>
      <c r="E3603" s="10"/>
      <c r="F3603" s="18"/>
      <c r="G3603" s="5"/>
      <c r="H3603" s="5"/>
      <c r="I3603" s="11"/>
      <c r="J3603" s="11"/>
      <c r="K3603" s="38"/>
      <c r="L3603" s="39"/>
      <c r="M3603" s="42">
        <f>IF(L3603="",I3603,(MIN(J3603,(L3603*1.6*J3603))))</f>
        <v>0</v>
      </c>
      <c r="N3603" s="43">
        <f>IF(M3603=0,0,(M3603/J3603))</f>
        <v>0</v>
      </c>
    </row>
    <row r="3604" spans="3:14">
      <c r="C3604" s="9"/>
      <c r="D3604" s="7" t="e">
        <f>SUMIF(B$3:B$3844,B3604,M$3:M$3844)/(SUMIF(B$3:B$3844,B3604,J$3:J$3844))</f>
        <v>#DIV/0!</v>
      </c>
      <c r="E3604" s="10"/>
      <c r="F3604" s="18"/>
      <c r="G3604" s="5"/>
      <c r="H3604" s="5"/>
      <c r="I3604" s="11"/>
      <c r="J3604" s="11"/>
      <c r="K3604" s="38"/>
      <c r="L3604" s="39"/>
      <c r="M3604" s="42">
        <f>IF(L3604="",I3604,(MIN(J3604,(L3604*1.6*J3604))))</f>
        <v>0</v>
      </c>
      <c r="N3604" s="43">
        <f>IF(M3604=0,0,(M3604/J3604))</f>
        <v>0</v>
      </c>
    </row>
    <row r="3605" spans="3:14">
      <c r="C3605" s="9"/>
      <c r="D3605" s="7" t="e">
        <f>SUMIF(B$3:B$3844,B3605,M$3:M$3844)/(SUMIF(B$3:B$3844,B3605,J$3:J$3844))</f>
        <v>#DIV/0!</v>
      </c>
      <c r="E3605" s="10"/>
      <c r="F3605" s="18"/>
      <c r="G3605" s="5"/>
      <c r="H3605" s="5"/>
      <c r="I3605" s="11"/>
      <c r="J3605" s="11"/>
      <c r="K3605" s="38"/>
      <c r="L3605" s="39"/>
      <c r="M3605" s="42">
        <f>IF(L3605="",I3605,(MIN(J3605,(L3605*1.6*J3605))))</f>
        <v>0</v>
      </c>
      <c r="N3605" s="43">
        <f>IF(M3605=0,0,(M3605/J3605))</f>
        <v>0</v>
      </c>
    </row>
    <row r="3606" spans="3:14">
      <c r="C3606" s="9"/>
      <c r="D3606" s="7" t="e">
        <f>SUMIF(B$3:B$3844,B3606,M$3:M$3844)/(SUMIF(B$3:B$3844,B3606,J$3:J$3844))</f>
        <v>#DIV/0!</v>
      </c>
      <c r="E3606" s="10"/>
      <c r="F3606" s="18"/>
      <c r="G3606" s="5"/>
      <c r="H3606" s="5"/>
      <c r="I3606" s="11"/>
      <c r="J3606" s="11"/>
      <c r="K3606" s="38"/>
      <c r="L3606" s="39"/>
      <c r="M3606" s="42">
        <f>IF(L3606="",I3606,(MIN(J3606,(L3606*1.6*J3606))))</f>
        <v>0</v>
      </c>
      <c r="N3606" s="43">
        <f>IF(M3606=0,0,(M3606/J3606))</f>
        <v>0</v>
      </c>
    </row>
    <row r="3607" spans="3:14">
      <c r="C3607" s="9"/>
      <c r="D3607" s="7" t="e">
        <f>SUMIF(B$3:B$3844,B3607,M$3:M$3844)/(SUMIF(B$3:B$3844,B3607,J$3:J$3844))</f>
        <v>#DIV/0!</v>
      </c>
      <c r="E3607" s="10"/>
      <c r="F3607" s="18"/>
      <c r="G3607" s="5"/>
      <c r="H3607" s="5"/>
      <c r="I3607" s="11"/>
      <c r="J3607" s="11"/>
      <c r="K3607" s="38"/>
      <c r="L3607" s="39"/>
      <c r="M3607" s="42">
        <f>IF(L3607="",I3607,(MIN(J3607,(L3607*1.6*J3607))))</f>
        <v>0</v>
      </c>
      <c r="N3607" s="43">
        <f>IF(M3607=0,0,(M3607/J3607))</f>
        <v>0</v>
      </c>
    </row>
    <row r="3608" spans="3:14">
      <c r="C3608" s="9"/>
      <c r="D3608" s="7" t="e">
        <f>SUMIF(B$3:B$3844,B3608,M$3:M$3844)/(SUMIF(B$3:B$3844,B3608,J$3:J$3844))</f>
        <v>#DIV/0!</v>
      </c>
      <c r="E3608" s="10"/>
      <c r="F3608" s="18"/>
      <c r="G3608" s="5"/>
      <c r="H3608" s="5"/>
      <c r="I3608" s="11"/>
      <c r="J3608" s="11"/>
      <c r="K3608" s="38"/>
      <c r="L3608" s="39"/>
      <c r="M3608" s="42">
        <f>IF(L3608="",I3608,(MIN(J3608,(L3608*1.6*J3608))))</f>
        <v>0</v>
      </c>
      <c r="N3608" s="43">
        <f>IF(M3608=0,0,(M3608/J3608))</f>
        <v>0</v>
      </c>
    </row>
    <row r="3609" spans="3:14">
      <c r="C3609" s="9"/>
      <c r="D3609" s="7" t="e">
        <f>SUMIF(B$3:B$3844,B3609,M$3:M$3844)/(SUMIF(B$3:B$3844,B3609,J$3:J$3844))</f>
        <v>#DIV/0!</v>
      </c>
      <c r="E3609" s="10"/>
      <c r="F3609" s="18"/>
      <c r="G3609" s="5"/>
      <c r="H3609" s="5"/>
      <c r="I3609" s="11"/>
      <c r="J3609" s="11"/>
      <c r="K3609" s="38"/>
      <c r="L3609" s="39"/>
      <c r="M3609" s="42">
        <f>IF(L3609="",I3609,(MIN(J3609,(L3609*1.6*J3609))))</f>
        <v>0</v>
      </c>
      <c r="N3609" s="43">
        <f>IF(M3609=0,0,(M3609/J3609))</f>
        <v>0</v>
      </c>
    </row>
    <row r="3610" spans="3:14">
      <c r="C3610" s="9"/>
      <c r="D3610" s="7" t="e">
        <f>SUMIF(B$3:B$3844,B3610,M$3:M$3844)/(SUMIF(B$3:B$3844,B3610,J$3:J$3844))</f>
        <v>#DIV/0!</v>
      </c>
      <c r="E3610" s="10"/>
      <c r="F3610" s="18"/>
      <c r="G3610" s="5"/>
      <c r="H3610" s="5"/>
      <c r="I3610" s="11"/>
      <c r="J3610" s="11"/>
      <c r="K3610" s="38"/>
      <c r="L3610" s="39"/>
      <c r="M3610" s="42">
        <f>IF(L3610="",I3610,(MIN(J3610,(L3610*1.6*J3610))))</f>
        <v>0</v>
      </c>
      <c r="N3610" s="43">
        <f>IF(M3610=0,0,(M3610/J3610))</f>
        <v>0</v>
      </c>
    </row>
    <row r="3611" spans="3:14">
      <c r="C3611" s="9"/>
      <c r="D3611" s="7" t="e">
        <f>SUMIF(B$3:B$3844,B3611,M$3:M$3844)/(SUMIF(B$3:B$3844,B3611,J$3:J$3844))</f>
        <v>#DIV/0!</v>
      </c>
      <c r="E3611" s="10"/>
      <c r="F3611" s="18"/>
      <c r="G3611" s="5"/>
      <c r="H3611" s="5"/>
      <c r="I3611" s="11"/>
      <c r="J3611" s="11"/>
      <c r="K3611" s="38"/>
      <c r="L3611" s="39"/>
      <c r="M3611" s="42">
        <f>IF(L3611="",I3611,(MIN(J3611,(L3611*1.6*J3611))))</f>
        <v>0</v>
      </c>
      <c r="N3611" s="43">
        <f>IF(M3611=0,0,(M3611/J3611))</f>
        <v>0</v>
      </c>
    </row>
    <row r="3612" spans="3:14">
      <c r="C3612" s="9"/>
      <c r="D3612" s="7" t="e">
        <f>SUMIF(B$3:B$3844,B3612,M$3:M$3844)/(SUMIF(B$3:B$3844,B3612,J$3:J$3844))</f>
        <v>#DIV/0!</v>
      </c>
      <c r="E3612" s="10"/>
      <c r="F3612" s="18"/>
      <c r="G3612" s="5"/>
      <c r="H3612" s="5"/>
      <c r="I3612" s="11"/>
      <c r="J3612" s="11"/>
      <c r="K3612" s="38"/>
      <c r="L3612" s="39"/>
      <c r="M3612" s="42">
        <f>IF(L3612="",I3612,(MIN(J3612,(L3612*1.6*J3612))))</f>
        <v>0</v>
      </c>
      <c r="N3612" s="43">
        <f>IF(M3612=0,0,(M3612/J3612))</f>
        <v>0</v>
      </c>
    </row>
    <row r="3613" spans="3:14">
      <c r="C3613" s="9"/>
      <c r="D3613" s="7" t="e">
        <f>SUMIF(B$3:B$3844,B3613,M$3:M$3844)/(SUMIF(B$3:B$3844,B3613,J$3:J$3844))</f>
        <v>#DIV/0!</v>
      </c>
      <c r="E3613" s="10"/>
      <c r="F3613" s="18"/>
      <c r="G3613" s="5"/>
      <c r="H3613" s="5"/>
      <c r="I3613" s="11"/>
      <c r="J3613" s="11"/>
      <c r="K3613" s="38"/>
      <c r="L3613" s="39"/>
      <c r="M3613" s="42">
        <f>IF(L3613="",I3613,(MIN(J3613,(L3613*1.6*J3613))))</f>
        <v>0</v>
      </c>
      <c r="N3613" s="43">
        <f>IF(M3613=0,0,(M3613/J3613))</f>
        <v>0</v>
      </c>
    </row>
    <row r="3614" spans="3:14">
      <c r="C3614" s="9"/>
      <c r="D3614" s="7" t="e">
        <f>SUMIF(B$3:B$3844,B3614,M$3:M$3844)/(SUMIF(B$3:B$3844,B3614,J$3:J$3844))</f>
        <v>#DIV/0!</v>
      </c>
      <c r="E3614" s="10"/>
      <c r="F3614" s="18"/>
      <c r="G3614" s="5"/>
      <c r="H3614" s="5"/>
      <c r="I3614" s="11"/>
      <c r="J3614" s="11"/>
      <c r="K3614" s="38"/>
      <c r="L3614" s="39"/>
      <c r="M3614" s="42">
        <f>IF(L3614="",I3614,(MIN(J3614,(L3614*1.6*J3614))))</f>
        <v>0</v>
      </c>
      <c r="N3614" s="43">
        <f>IF(M3614=0,0,(M3614/J3614))</f>
        <v>0</v>
      </c>
    </row>
    <row r="3615" spans="3:14">
      <c r="C3615" s="9"/>
      <c r="D3615" s="7" t="e">
        <f>SUMIF(B$3:B$3844,B3615,M$3:M$3844)/(SUMIF(B$3:B$3844,B3615,J$3:J$3844))</f>
        <v>#DIV/0!</v>
      </c>
      <c r="E3615" s="10"/>
      <c r="F3615" s="18"/>
      <c r="G3615" s="5"/>
      <c r="H3615" s="5"/>
      <c r="I3615" s="11"/>
      <c r="J3615" s="11"/>
      <c r="K3615" s="38"/>
      <c r="L3615" s="39"/>
      <c r="M3615" s="42">
        <f>IF(L3615="",I3615,(MIN(J3615,(L3615*1.6*J3615))))</f>
        <v>0</v>
      </c>
      <c r="N3615" s="43">
        <f>IF(M3615=0,0,(M3615/J3615))</f>
        <v>0</v>
      </c>
    </row>
    <row r="3616" spans="3:14">
      <c r="C3616" s="9"/>
      <c r="D3616" s="7" t="e">
        <f>SUMIF(B$3:B$3844,B3616,M$3:M$3844)/(SUMIF(B$3:B$3844,B3616,J$3:J$3844))</f>
        <v>#DIV/0!</v>
      </c>
      <c r="E3616" s="10"/>
      <c r="F3616" s="18"/>
      <c r="G3616" s="5"/>
      <c r="H3616" s="5"/>
      <c r="I3616" s="11"/>
      <c r="J3616" s="11"/>
      <c r="K3616" s="38"/>
      <c r="L3616" s="39"/>
      <c r="M3616" s="42">
        <f>IF(L3616="",I3616,(MIN(J3616,(L3616*1.6*J3616))))</f>
        <v>0</v>
      </c>
      <c r="N3616" s="43">
        <f>IF(M3616=0,0,(M3616/J3616))</f>
        <v>0</v>
      </c>
    </row>
    <row r="3617" spans="3:14">
      <c r="C3617" s="9"/>
      <c r="D3617" s="7" t="e">
        <f>SUMIF(B$3:B$3844,B3617,M$3:M$3844)/(SUMIF(B$3:B$3844,B3617,J$3:J$3844))</f>
        <v>#DIV/0!</v>
      </c>
      <c r="E3617" s="10"/>
      <c r="F3617" s="18"/>
      <c r="G3617" s="5"/>
      <c r="H3617" s="5"/>
      <c r="I3617" s="11"/>
      <c r="J3617" s="11"/>
      <c r="K3617" s="38"/>
      <c r="L3617" s="39"/>
      <c r="M3617" s="42">
        <f>IF(L3617="",I3617,(MIN(J3617,(L3617*1.6*J3617))))</f>
        <v>0</v>
      </c>
      <c r="N3617" s="43">
        <f>IF(M3617=0,0,(M3617/J3617))</f>
        <v>0</v>
      </c>
    </row>
    <row r="3618" spans="3:14">
      <c r="C3618" s="9"/>
      <c r="D3618" s="7" t="e">
        <f>SUMIF(B$3:B$3844,B3618,M$3:M$3844)/(SUMIF(B$3:B$3844,B3618,J$3:J$3844))</f>
        <v>#DIV/0!</v>
      </c>
      <c r="E3618" s="10"/>
      <c r="F3618" s="18"/>
      <c r="G3618" s="5"/>
      <c r="H3618" s="5"/>
      <c r="I3618" s="11"/>
      <c r="J3618" s="11"/>
      <c r="K3618" s="38"/>
      <c r="L3618" s="39"/>
      <c r="M3618" s="42">
        <f>IF(L3618="",I3618,(MIN(J3618,(L3618*1.6*J3618))))</f>
        <v>0</v>
      </c>
      <c r="N3618" s="43">
        <f>IF(M3618=0,0,(M3618/J3618))</f>
        <v>0</v>
      </c>
    </row>
    <row r="3619" spans="3:14">
      <c r="C3619" s="9"/>
      <c r="D3619" s="7" t="e">
        <f>SUMIF(B$3:B$3844,B3619,M$3:M$3844)/(SUMIF(B$3:B$3844,B3619,J$3:J$3844))</f>
        <v>#DIV/0!</v>
      </c>
      <c r="E3619" s="10"/>
      <c r="F3619" s="18"/>
      <c r="G3619" s="5"/>
      <c r="H3619" s="5"/>
      <c r="I3619" s="11"/>
      <c r="J3619" s="11"/>
      <c r="K3619" s="38"/>
      <c r="L3619" s="39"/>
      <c r="M3619" s="42">
        <f>IF(L3619="",I3619,(MIN(J3619,(L3619*1.6*J3619))))</f>
        <v>0</v>
      </c>
      <c r="N3619" s="43">
        <f>IF(M3619=0,0,(M3619/J3619))</f>
        <v>0</v>
      </c>
    </row>
    <row r="3620" spans="3:14">
      <c r="C3620" s="9"/>
      <c r="D3620" s="7" t="e">
        <f>SUMIF(B$3:B$3844,B3620,M$3:M$3844)/(SUMIF(B$3:B$3844,B3620,J$3:J$3844))</f>
        <v>#DIV/0!</v>
      </c>
      <c r="E3620" s="10"/>
      <c r="F3620" s="18"/>
      <c r="G3620" s="5"/>
      <c r="H3620" s="5"/>
      <c r="I3620" s="11"/>
      <c r="J3620" s="11"/>
      <c r="K3620" s="38"/>
      <c r="L3620" s="39"/>
      <c r="M3620" s="42">
        <f>IF(L3620="",I3620,(MIN(J3620,(L3620*1.6*J3620))))</f>
        <v>0</v>
      </c>
      <c r="N3620" s="43">
        <f>IF(M3620=0,0,(M3620/J3620))</f>
        <v>0</v>
      </c>
    </row>
    <row r="3621" spans="3:14">
      <c r="C3621" s="9"/>
      <c r="D3621" s="7" t="e">
        <f>SUMIF(B$3:B$3844,B3621,M$3:M$3844)/(SUMIF(B$3:B$3844,B3621,J$3:J$3844))</f>
        <v>#DIV/0!</v>
      </c>
      <c r="E3621" s="10"/>
      <c r="F3621" s="18"/>
      <c r="G3621" s="5"/>
      <c r="H3621" s="5"/>
      <c r="I3621" s="11"/>
      <c r="J3621" s="11"/>
      <c r="K3621" s="38"/>
      <c r="L3621" s="39"/>
      <c r="M3621" s="42">
        <f>IF(L3621="",I3621,(MIN(J3621,(L3621*1.6*J3621))))</f>
        <v>0</v>
      </c>
      <c r="N3621" s="43">
        <f>IF(M3621=0,0,(M3621/J3621))</f>
        <v>0</v>
      </c>
    </row>
    <row r="3622" spans="3:14">
      <c r="C3622" s="9"/>
      <c r="D3622" s="7" t="e">
        <f>SUMIF(B$3:B$3844,B3622,M$3:M$3844)/(SUMIF(B$3:B$3844,B3622,J$3:J$3844))</f>
        <v>#DIV/0!</v>
      </c>
      <c r="E3622" s="10"/>
      <c r="F3622" s="18"/>
      <c r="G3622" s="5"/>
      <c r="H3622" s="5"/>
      <c r="I3622" s="11"/>
      <c r="J3622" s="11"/>
      <c r="K3622" s="38"/>
      <c r="L3622" s="39"/>
      <c r="M3622" s="42">
        <f>IF(L3622="",I3622,(MIN(J3622,(L3622*1.6*J3622))))</f>
        <v>0</v>
      </c>
      <c r="N3622" s="43">
        <f>IF(M3622=0,0,(M3622/J3622))</f>
        <v>0</v>
      </c>
    </row>
    <row r="3623" spans="3:14">
      <c r="C3623" s="9"/>
      <c r="D3623" s="7" t="e">
        <f>SUMIF(B$3:B$3844,B3623,M$3:M$3844)/(SUMIF(B$3:B$3844,B3623,J$3:J$3844))</f>
        <v>#DIV/0!</v>
      </c>
      <c r="E3623" s="10"/>
      <c r="F3623" s="18"/>
      <c r="G3623" s="5"/>
      <c r="H3623" s="5"/>
      <c r="I3623" s="11"/>
      <c r="J3623" s="11"/>
      <c r="K3623" s="38"/>
      <c r="L3623" s="39"/>
      <c r="M3623" s="42">
        <f>IF(L3623="",I3623,(MIN(J3623,(L3623*1.6*J3623))))</f>
        <v>0</v>
      </c>
      <c r="N3623" s="43">
        <f>IF(M3623=0,0,(M3623/J3623))</f>
        <v>0</v>
      </c>
    </row>
    <row r="3624" spans="3:14">
      <c r="C3624" s="9"/>
      <c r="D3624" s="7" t="e">
        <f>SUMIF(B$3:B$3844,B3624,M$3:M$3844)/(SUMIF(B$3:B$3844,B3624,J$3:J$3844))</f>
        <v>#DIV/0!</v>
      </c>
      <c r="E3624" s="10"/>
      <c r="F3624" s="18"/>
      <c r="G3624" s="5"/>
      <c r="H3624" s="5"/>
      <c r="I3624" s="11"/>
      <c r="J3624" s="11"/>
      <c r="K3624" s="38"/>
      <c r="L3624" s="39"/>
      <c r="M3624" s="42">
        <f>IF(L3624="",I3624,(MIN(J3624,(L3624*1.6*J3624))))</f>
        <v>0</v>
      </c>
      <c r="N3624" s="43">
        <f>IF(M3624=0,0,(M3624/J3624))</f>
        <v>0</v>
      </c>
    </row>
    <row r="3625" spans="3:14">
      <c r="C3625" s="9"/>
      <c r="D3625" s="7" t="e">
        <f>SUMIF(B$3:B$3844,B3625,M$3:M$3844)/(SUMIF(B$3:B$3844,B3625,J$3:J$3844))</f>
        <v>#DIV/0!</v>
      </c>
      <c r="E3625" s="10"/>
      <c r="F3625" s="18"/>
      <c r="G3625" s="5"/>
      <c r="H3625" s="5"/>
      <c r="I3625" s="11"/>
      <c r="J3625" s="11"/>
      <c r="K3625" s="38"/>
      <c r="L3625" s="39"/>
      <c r="M3625" s="42">
        <f>IF(L3625="",I3625,(MIN(J3625,(L3625*1.6*J3625))))</f>
        <v>0</v>
      </c>
      <c r="N3625" s="43">
        <f>IF(M3625=0,0,(M3625/J3625))</f>
        <v>0</v>
      </c>
    </row>
    <row r="3626" spans="3:14">
      <c r="C3626" s="9"/>
      <c r="D3626" s="7" t="e">
        <f>SUMIF(B$3:B$3844,B3626,M$3:M$3844)/(SUMIF(B$3:B$3844,B3626,J$3:J$3844))</f>
        <v>#DIV/0!</v>
      </c>
      <c r="E3626" s="10"/>
      <c r="F3626" s="18"/>
      <c r="G3626" s="5"/>
      <c r="H3626" s="5"/>
      <c r="I3626" s="11"/>
      <c r="J3626" s="11"/>
      <c r="K3626" s="38"/>
      <c r="L3626" s="39"/>
      <c r="M3626" s="42">
        <f>IF(L3626="",I3626,(MIN(J3626,(L3626*1.6*J3626))))</f>
        <v>0</v>
      </c>
      <c r="N3626" s="43">
        <f>IF(M3626=0,0,(M3626/J3626))</f>
        <v>0</v>
      </c>
    </row>
    <row r="3627" spans="3:14">
      <c r="C3627" s="9"/>
      <c r="D3627" s="7" t="e">
        <f>SUMIF(B$3:B$3844,B3627,M$3:M$3844)/(SUMIF(B$3:B$3844,B3627,J$3:J$3844))</f>
        <v>#DIV/0!</v>
      </c>
      <c r="E3627" s="10"/>
      <c r="F3627" s="18"/>
      <c r="G3627" s="5"/>
      <c r="H3627" s="5"/>
      <c r="I3627" s="11"/>
      <c r="J3627" s="11"/>
      <c r="K3627" s="38"/>
      <c r="L3627" s="39"/>
      <c r="M3627" s="42">
        <f>IF(L3627="",I3627,(MIN(J3627,(L3627*1.6*J3627))))</f>
        <v>0</v>
      </c>
      <c r="N3627" s="43">
        <f>IF(M3627=0,0,(M3627/J3627))</f>
        <v>0</v>
      </c>
    </row>
    <row r="3628" spans="3:14">
      <c r="C3628" s="9"/>
      <c r="D3628" s="7" t="e">
        <f>SUMIF(B$3:B$3844,B3628,M$3:M$3844)/(SUMIF(B$3:B$3844,B3628,J$3:J$3844))</f>
        <v>#DIV/0!</v>
      </c>
      <c r="E3628" s="10"/>
      <c r="F3628" s="18"/>
      <c r="G3628" s="5"/>
      <c r="H3628" s="5"/>
      <c r="I3628" s="11"/>
      <c r="J3628" s="11"/>
      <c r="K3628" s="38"/>
      <c r="L3628" s="39"/>
      <c r="M3628" s="42">
        <f>IF(L3628="",I3628,(MIN(J3628,(L3628*1.6*J3628))))</f>
        <v>0</v>
      </c>
      <c r="N3628" s="43">
        <f>IF(M3628=0,0,(M3628/J3628))</f>
        <v>0</v>
      </c>
    </row>
    <row r="3629" spans="3:14">
      <c r="C3629" s="9"/>
      <c r="D3629" s="7" t="e">
        <f>SUMIF(B$3:B$3844,B3629,M$3:M$3844)/(SUMIF(B$3:B$3844,B3629,J$3:J$3844))</f>
        <v>#DIV/0!</v>
      </c>
      <c r="E3629" s="10"/>
      <c r="F3629" s="18"/>
      <c r="G3629" s="5"/>
      <c r="H3629" s="5"/>
      <c r="I3629" s="11"/>
      <c r="J3629" s="11"/>
      <c r="K3629" s="38"/>
      <c r="L3629" s="39"/>
      <c r="M3629" s="42">
        <f>IF(L3629="",I3629,(MIN(J3629,(L3629*1.6*J3629))))</f>
        <v>0</v>
      </c>
      <c r="N3629" s="43">
        <f>IF(M3629=0,0,(M3629/J3629))</f>
        <v>0</v>
      </c>
    </row>
    <row r="3630" spans="3:14">
      <c r="C3630" s="9"/>
      <c r="D3630" s="7" t="e">
        <f>SUMIF(B$3:B$3844,B3630,M$3:M$3844)/(SUMIF(B$3:B$3844,B3630,J$3:J$3844))</f>
        <v>#DIV/0!</v>
      </c>
      <c r="E3630" s="10"/>
      <c r="F3630" s="18"/>
      <c r="G3630" s="5"/>
      <c r="H3630" s="5"/>
      <c r="I3630" s="11"/>
      <c r="J3630" s="11"/>
      <c r="K3630" s="38"/>
      <c r="L3630" s="39"/>
      <c r="M3630" s="42">
        <f>IF(L3630="",I3630,(MIN(J3630,(L3630*1.6*J3630))))</f>
        <v>0</v>
      </c>
      <c r="N3630" s="43">
        <f>IF(M3630=0,0,(M3630/J3630))</f>
        <v>0</v>
      </c>
    </row>
    <row r="3631" spans="3:14">
      <c r="C3631" s="9"/>
      <c r="D3631" s="7" t="e">
        <f>SUMIF(B$3:B$3844,B3631,M$3:M$3844)/(SUMIF(B$3:B$3844,B3631,J$3:J$3844))</f>
        <v>#DIV/0!</v>
      </c>
      <c r="E3631" s="10"/>
      <c r="F3631" s="18"/>
      <c r="G3631" s="5"/>
      <c r="H3631" s="5"/>
      <c r="I3631" s="11"/>
      <c r="J3631" s="11"/>
      <c r="K3631" s="38"/>
      <c r="L3631" s="39"/>
      <c r="M3631" s="42">
        <f>IF(L3631="",I3631,(MIN(J3631,(L3631*1.6*J3631))))</f>
        <v>0</v>
      </c>
      <c r="N3631" s="43">
        <f>IF(M3631=0,0,(M3631/J3631))</f>
        <v>0</v>
      </c>
    </row>
    <row r="3632" spans="3:14">
      <c r="C3632" s="9"/>
      <c r="D3632" s="7" t="e">
        <f>SUMIF(B$3:B$3844,B3632,M$3:M$3844)/(SUMIF(B$3:B$3844,B3632,J$3:J$3844))</f>
        <v>#DIV/0!</v>
      </c>
      <c r="E3632" s="10"/>
      <c r="F3632" s="18"/>
      <c r="G3632" s="5"/>
      <c r="H3632" s="5"/>
      <c r="I3632" s="11"/>
      <c r="J3632" s="11"/>
      <c r="K3632" s="38"/>
      <c r="L3632" s="39"/>
      <c r="M3632" s="42">
        <f>IF(L3632="",I3632,(MIN(J3632,(L3632*1.6*J3632))))</f>
        <v>0</v>
      </c>
      <c r="N3632" s="43">
        <f>IF(M3632=0,0,(M3632/J3632))</f>
        <v>0</v>
      </c>
    </row>
    <row r="3633" spans="3:14">
      <c r="C3633" s="9"/>
      <c r="D3633" s="7" t="e">
        <f>SUMIF(B$3:B$3844,B3633,M$3:M$3844)/(SUMIF(B$3:B$3844,B3633,J$3:J$3844))</f>
        <v>#DIV/0!</v>
      </c>
      <c r="E3633" s="10"/>
      <c r="F3633" s="18"/>
      <c r="G3633" s="5"/>
      <c r="H3633" s="5"/>
      <c r="I3633" s="11"/>
      <c r="J3633" s="11"/>
      <c r="K3633" s="38"/>
      <c r="L3633" s="39"/>
      <c r="M3633" s="42">
        <f>IF(L3633="",I3633,(MIN(J3633,(L3633*1.6*J3633))))</f>
        <v>0</v>
      </c>
      <c r="N3633" s="43">
        <f>IF(M3633=0,0,(M3633/J3633))</f>
        <v>0</v>
      </c>
    </row>
    <row r="3634" spans="3:14">
      <c r="C3634" s="9"/>
      <c r="D3634" s="7" t="e">
        <f>SUMIF(B$3:B$3844,B3634,M$3:M$3844)/(SUMIF(B$3:B$3844,B3634,J$3:J$3844))</f>
        <v>#DIV/0!</v>
      </c>
      <c r="E3634" s="10"/>
      <c r="F3634" s="18"/>
      <c r="G3634" s="5"/>
      <c r="H3634" s="5"/>
      <c r="I3634" s="11"/>
      <c r="J3634" s="11"/>
      <c r="K3634" s="38"/>
      <c r="L3634" s="39"/>
      <c r="M3634" s="42">
        <f>IF(L3634="",I3634,(MIN(J3634,(L3634*1.6*J3634))))</f>
        <v>0</v>
      </c>
      <c r="N3634" s="43">
        <f>IF(M3634=0,0,(M3634/J3634))</f>
        <v>0</v>
      </c>
    </row>
    <row r="3635" spans="3:14">
      <c r="C3635" s="9"/>
      <c r="D3635" s="7" t="e">
        <f>SUMIF(B$3:B$3844,B3635,M$3:M$3844)/(SUMIF(B$3:B$3844,B3635,J$3:J$3844))</f>
        <v>#DIV/0!</v>
      </c>
      <c r="E3635" s="10"/>
      <c r="F3635" s="18"/>
      <c r="G3635" s="5"/>
      <c r="H3635" s="5"/>
      <c r="I3635" s="11"/>
      <c r="J3635" s="11"/>
      <c r="K3635" s="38"/>
      <c r="L3635" s="39"/>
      <c r="M3635" s="42">
        <f>IF(L3635="",I3635,(MIN(J3635,(L3635*1.6*J3635))))</f>
        <v>0</v>
      </c>
      <c r="N3635" s="43">
        <f>IF(M3635=0,0,(M3635/J3635))</f>
        <v>0</v>
      </c>
    </row>
    <row r="3636" spans="3:14">
      <c r="C3636" s="9"/>
      <c r="D3636" s="7" t="e">
        <f>SUMIF(B$3:B$3844,B3636,M$3:M$3844)/(SUMIF(B$3:B$3844,B3636,J$3:J$3844))</f>
        <v>#DIV/0!</v>
      </c>
      <c r="E3636" s="10"/>
      <c r="F3636" s="18"/>
      <c r="G3636" s="5"/>
      <c r="H3636" s="5"/>
      <c r="I3636" s="11"/>
      <c r="J3636" s="11"/>
      <c r="K3636" s="38"/>
      <c r="L3636" s="39"/>
      <c r="M3636" s="42">
        <f>IF(L3636="",I3636,(MIN(J3636,(L3636*1.6*J3636))))</f>
        <v>0</v>
      </c>
      <c r="N3636" s="43">
        <f>IF(M3636=0,0,(M3636/J3636))</f>
        <v>0</v>
      </c>
    </row>
    <row r="3637" spans="3:14">
      <c r="C3637" s="9"/>
      <c r="D3637" s="7" t="e">
        <f>SUMIF(B$3:B$3844,B3637,M$3:M$3844)/(SUMIF(B$3:B$3844,B3637,J$3:J$3844))</f>
        <v>#DIV/0!</v>
      </c>
      <c r="E3637" s="10"/>
      <c r="F3637" s="18"/>
      <c r="G3637" s="5"/>
      <c r="H3637" s="5"/>
      <c r="I3637" s="11"/>
      <c r="J3637" s="11"/>
      <c r="K3637" s="38"/>
      <c r="L3637" s="39"/>
      <c r="M3637" s="42">
        <f>IF(L3637="",I3637,(MIN(J3637,(L3637*1.6*J3637))))</f>
        <v>0</v>
      </c>
      <c r="N3637" s="43">
        <f>IF(M3637=0,0,(M3637/J3637))</f>
        <v>0</v>
      </c>
    </row>
    <row r="3638" spans="3:14">
      <c r="C3638" s="9"/>
      <c r="D3638" s="7" t="e">
        <f>SUMIF(B$3:B$3844,B3638,M$3:M$3844)/(SUMIF(B$3:B$3844,B3638,J$3:J$3844))</f>
        <v>#DIV/0!</v>
      </c>
      <c r="E3638" s="10"/>
      <c r="F3638" s="18"/>
      <c r="G3638" s="5"/>
      <c r="H3638" s="5"/>
      <c r="I3638" s="11"/>
      <c r="J3638" s="11"/>
      <c r="K3638" s="38"/>
      <c r="L3638" s="39"/>
      <c r="M3638" s="42">
        <f>IF(L3638="",I3638,(MIN(J3638,(L3638*1.6*J3638))))</f>
        <v>0</v>
      </c>
      <c r="N3638" s="43">
        <f>IF(M3638=0,0,(M3638/J3638))</f>
        <v>0</v>
      </c>
    </row>
    <row r="3639" spans="3:14">
      <c r="C3639" s="9"/>
      <c r="D3639" s="7" t="e">
        <f>SUMIF(B$3:B$3844,B3639,M$3:M$3844)/(SUMIF(B$3:B$3844,B3639,J$3:J$3844))</f>
        <v>#DIV/0!</v>
      </c>
      <c r="E3639" s="10"/>
      <c r="F3639" s="18"/>
      <c r="G3639" s="5"/>
      <c r="H3639" s="5"/>
      <c r="I3639" s="11"/>
      <c r="J3639" s="11"/>
      <c r="K3639" s="38"/>
      <c r="L3639" s="39"/>
      <c r="M3639" s="42">
        <f>IF(L3639="",I3639,(MIN(J3639,(L3639*1.6*J3639))))</f>
        <v>0</v>
      </c>
      <c r="N3639" s="43">
        <f>IF(M3639=0,0,(M3639/J3639))</f>
        <v>0</v>
      </c>
    </row>
    <row r="3640" spans="3:14">
      <c r="C3640" s="9"/>
      <c r="D3640" s="7" t="e">
        <f>SUMIF(B$3:B$3844,B3640,M$3:M$3844)/(SUMIF(B$3:B$3844,B3640,J$3:J$3844))</f>
        <v>#DIV/0!</v>
      </c>
      <c r="E3640" s="10"/>
      <c r="F3640" s="18"/>
      <c r="G3640" s="5"/>
      <c r="H3640" s="5"/>
      <c r="I3640" s="11"/>
      <c r="J3640" s="11"/>
      <c r="K3640" s="38"/>
      <c r="L3640" s="39"/>
      <c r="M3640" s="42">
        <f>IF(L3640="",I3640,(MIN(J3640,(L3640*1.6*J3640))))</f>
        <v>0</v>
      </c>
      <c r="N3640" s="43">
        <f>IF(M3640=0,0,(M3640/J3640))</f>
        <v>0</v>
      </c>
    </row>
    <row r="3641" spans="3:14">
      <c r="C3641" s="9"/>
      <c r="D3641" s="7" t="e">
        <f>SUMIF(B$3:B$3844,B3641,M$3:M$3844)/(SUMIF(B$3:B$3844,B3641,J$3:J$3844))</f>
        <v>#DIV/0!</v>
      </c>
      <c r="E3641" s="10"/>
      <c r="F3641" s="18"/>
      <c r="G3641" s="5"/>
      <c r="H3641" s="5"/>
      <c r="I3641" s="11"/>
      <c r="J3641" s="11"/>
      <c r="K3641" s="38"/>
      <c r="L3641" s="39"/>
      <c r="M3641" s="42">
        <f>IF(L3641="",I3641,(MIN(J3641,(L3641*1.6*J3641))))</f>
        <v>0</v>
      </c>
      <c r="N3641" s="43">
        <f>IF(M3641=0,0,(M3641/J3641))</f>
        <v>0</v>
      </c>
    </row>
    <row r="3642" spans="3:14">
      <c r="C3642" s="9"/>
      <c r="D3642" s="7" t="e">
        <f>SUMIF(B$3:B$3844,B3642,M$3:M$3844)/(SUMIF(B$3:B$3844,B3642,J$3:J$3844))</f>
        <v>#DIV/0!</v>
      </c>
      <c r="E3642" s="10"/>
      <c r="F3642" s="18"/>
      <c r="G3642" s="5"/>
      <c r="H3642" s="5"/>
      <c r="I3642" s="11"/>
      <c r="J3642" s="11"/>
      <c r="K3642" s="38"/>
      <c r="L3642" s="39"/>
      <c r="M3642" s="42">
        <f>IF(L3642="",I3642,(MIN(J3642,(L3642*1.6*J3642))))</f>
        <v>0</v>
      </c>
      <c r="N3642" s="43">
        <f>IF(M3642=0,0,(M3642/J3642))</f>
        <v>0</v>
      </c>
    </row>
    <row r="3643" spans="3:14">
      <c r="C3643" s="9"/>
      <c r="D3643" s="7" t="e">
        <f>SUMIF(B$3:B$3844,B3643,M$3:M$3844)/(SUMIF(B$3:B$3844,B3643,J$3:J$3844))</f>
        <v>#DIV/0!</v>
      </c>
      <c r="E3643" s="10"/>
      <c r="F3643" s="18"/>
      <c r="G3643" s="5"/>
      <c r="H3643" s="5"/>
      <c r="I3643" s="11"/>
      <c r="J3643" s="11"/>
      <c r="K3643" s="38"/>
      <c r="L3643" s="39"/>
      <c r="M3643" s="42">
        <f>IF(L3643="",I3643,(MIN(J3643,(L3643*1.6*J3643))))</f>
        <v>0</v>
      </c>
      <c r="N3643" s="43">
        <f>IF(M3643=0,0,(M3643/J3643))</f>
        <v>0</v>
      </c>
    </row>
    <row r="3644" spans="3:14">
      <c r="C3644" s="9"/>
      <c r="D3644" s="7" t="e">
        <f>SUMIF(B$3:B$3844,B3644,M$3:M$3844)/(SUMIF(B$3:B$3844,B3644,J$3:J$3844))</f>
        <v>#DIV/0!</v>
      </c>
      <c r="E3644" s="10"/>
      <c r="F3644" s="18"/>
      <c r="G3644" s="5"/>
      <c r="H3644" s="5"/>
      <c r="I3644" s="11"/>
      <c r="J3644" s="11"/>
      <c r="K3644" s="38"/>
      <c r="L3644" s="39"/>
      <c r="M3644" s="42">
        <f>IF(L3644="",I3644,(MIN(J3644,(L3644*1.6*J3644))))</f>
        <v>0</v>
      </c>
      <c r="N3644" s="43">
        <f>IF(M3644=0,0,(M3644/J3644))</f>
        <v>0</v>
      </c>
    </row>
    <row r="3645" spans="3:14">
      <c r="C3645" s="9"/>
      <c r="D3645" s="7" t="e">
        <f>SUMIF(B$3:B$3844,B3645,M$3:M$3844)/(SUMIF(B$3:B$3844,B3645,J$3:J$3844))</f>
        <v>#DIV/0!</v>
      </c>
      <c r="E3645" s="10"/>
      <c r="F3645" s="18"/>
      <c r="G3645" s="5"/>
      <c r="H3645" s="5"/>
      <c r="I3645" s="11"/>
      <c r="J3645" s="11"/>
      <c r="K3645" s="38"/>
      <c r="L3645" s="39"/>
      <c r="M3645" s="42">
        <f>IF(L3645="",I3645,(MIN(J3645,(L3645*1.6*J3645))))</f>
        <v>0</v>
      </c>
      <c r="N3645" s="43">
        <f>IF(M3645=0,0,(M3645/J3645))</f>
        <v>0</v>
      </c>
    </row>
    <row r="3646" spans="3:14">
      <c r="C3646" s="9"/>
      <c r="D3646" s="7" t="e">
        <f>SUMIF(B$3:B$3844,B3646,M$3:M$3844)/(SUMIF(B$3:B$3844,B3646,J$3:J$3844))</f>
        <v>#DIV/0!</v>
      </c>
      <c r="E3646" s="10"/>
      <c r="F3646" s="18"/>
      <c r="G3646" s="5"/>
      <c r="H3646" s="5"/>
      <c r="I3646" s="11"/>
      <c r="J3646" s="11"/>
      <c r="K3646" s="38"/>
      <c r="L3646" s="39"/>
      <c r="M3646" s="42">
        <f>IF(L3646="",I3646,(MIN(J3646,(L3646*1.6*J3646))))</f>
        <v>0</v>
      </c>
      <c r="N3646" s="43">
        <f>IF(M3646=0,0,(M3646/J3646))</f>
        <v>0</v>
      </c>
    </row>
    <row r="3647" spans="3:14">
      <c r="C3647" s="9"/>
      <c r="D3647" s="7" t="e">
        <f>SUMIF(B$3:B$3844,B3647,M$3:M$3844)/(SUMIF(B$3:B$3844,B3647,J$3:J$3844))</f>
        <v>#DIV/0!</v>
      </c>
      <c r="E3647" s="10"/>
      <c r="F3647" s="18"/>
      <c r="G3647" s="5"/>
      <c r="H3647" s="5"/>
      <c r="I3647" s="11"/>
      <c r="J3647" s="11"/>
      <c r="K3647" s="38"/>
      <c r="L3647" s="39"/>
      <c r="M3647" s="42">
        <f>IF(L3647="",I3647,(MIN(J3647,(L3647*1.6*J3647))))</f>
        <v>0</v>
      </c>
      <c r="N3647" s="43">
        <f>IF(M3647=0,0,(M3647/J3647))</f>
        <v>0</v>
      </c>
    </row>
    <row r="3648" spans="3:14">
      <c r="C3648" s="9"/>
      <c r="D3648" s="7" t="e">
        <f>SUMIF(B$3:B$3844,B3648,M$3:M$3844)/(SUMIF(B$3:B$3844,B3648,J$3:J$3844))</f>
        <v>#DIV/0!</v>
      </c>
      <c r="E3648" s="10"/>
      <c r="F3648" s="18"/>
      <c r="G3648" s="5"/>
      <c r="H3648" s="5"/>
      <c r="I3648" s="11"/>
      <c r="J3648" s="11"/>
      <c r="K3648" s="38"/>
      <c r="L3648" s="39"/>
      <c r="M3648" s="42">
        <f>IF(L3648="",I3648,(MIN(J3648,(L3648*1.6*J3648))))</f>
        <v>0</v>
      </c>
      <c r="N3648" s="43">
        <f>IF(M3648=0,0,(M3648/J3648))</f>
        <v>0</v>
      </c>
    </row>
    <row r="3649" spans="3:14">
      <c r="C3649" s="9"/>
      <c r="D3649" s="7" t="e">
        <f>SUMIF(B$3:B$3844,B3649,M$3:M$3844)/(SUMIF(B$3:B$3844,B3649,J$3:J$3844))</f>
        <v>#DIV/0!</v>
      </c>
      <c r="E3649" s="10"/>
      <c r="F3649" s="18"/>
      <c r="G3649" s="5"/>
      <c r="H3649" s="5"/>
      <c r="I3649" s="11"/>
      <c r="J3649" s="11"/>
      <c r="K3649" s="38"/>
      <c r="L3649" s="39"/>
      <c r="M3649" s="42">
        <f>IF(L3649="",I3649,(MIN(J3649,(L3649*1.6*J3649))))</f>
        <v>0</v>
      </c>
      <c r="N3649" s="43">
        <f>IF(M3649=0,0,(M3649/J3649))</f>
        <v>0</v>
      </c>
    </row>
    <row r="3650" spans="3:14">
      <c r="C3650" s="9"/>
      <c r="D3650" s="7" t="e">
        <f>SUMIF(B$3:B$3844,B3650,M$3:M$3844)/(SUMIF(B$3:B$3844,B3650,J$3:J$3844))</f>
        <v>#DIV/0!</v>
      </c>
      <c r="E3650" s="10"/>
      <c r="F3650" s="18"/>
      <c r="G3650" s="5"/>
      <c r="H3650" s="5"/>
      <c r="I3650" s="11"/>
      <c r="J3650" s="11"/>
      <c r="K3650" s="38"/>
      <c r="L3650" s="39"/>
      <c r="M3650" s="42">
        <f>IF(L3650="",I3650,(MIN(J3650,(L3650*1.6*J3650))))</f>
        <v>0</v>
      </c>
      <c r="N3650" s="43">
        <f>IF(M3650=0,0,(M3650/J3650))</f>
        <v>0</v>
      </c>
    </row>
    <row r="3651" spans="3:14">
      <c r="C3651" s="9"/>
      <c r="D3651" s="7" t="e">
        <f>SUMIF(B$3:B$3844,B3651,M$3:M$3844)/(SUMIF(B$3:B$3844,B3651,J$3:J$3844))</f>
        <v>#DIV/0!</v>
      </c>
      <c r="E3651" s="10"/>
      <c r="F3651" s="18"/>
      <c r="G3651" s="5"/>
      <c r="H3651" s="5"/>
      <c r="I3651" s="11"/>
      <c r="J3651" s="11"/>
      <c r="K3651" s="38"/>
      <c r="L3651" s="39"/>
      <c r="M3651" s="42">
        <f>IF(L3651="",I3651,(MIN(J3651,(L3651*1.6*J3651))))</f>
        <v>0</v>
      </c>
      <c r="N3651" s="43">
        <f>IF(M3651=0,0,(M3651/J3651))</f>
        <v>0</v>
      </c>
    </row>
    <row r="3652" spans="3:14">
      <c r="C3652" s="9"/>
      <c r="D3652" s="7" t="e">
        <f>SUMIF(B$3:B$3844,B3652,M$3:M$3844)/(SUMIF(B$3:B$3844,B3652,J$3:J$3844))</f>
        <v>#DIV/0!</v>
      </c>
      <c r="E3652" s="10"/>
      <c r="F3652" s="18"/>
      <c r="G3652" s="5"/>
      <c r="H3652" s="5"/>
      <c r="I3652" s="11"/>
      <c r="J3652" s="11"/>
      <c r="K3652" s="38"/>
      <c r="L3652" s="39"/>
      <c r="M3652" s="42">
        <f>IF(L3652="",I3652,(MIN(J3652,(L3652*1.6*J3652))))</f>
        <v>0</v>
      </c>
      <c r="N3652" s="43">
        <f>IF(M3652=0,0,(M3652/J3652))</f>
        <v>0</v>
      </c>
    </row>
    <row r="3653" spans="3:14">
      <c r="C3653" s="9"/>
      <c r="D3653" s="7" t="e">
        <f>SUMIF(B$3:B$3844,B3653,M$3:M$3844)/(SUMIF(B$3:B$3844,B3653,J$3:J$3844))</f>
        <v>#DIV/0!</v>
      </c>
      <c r="E3653" s="10"/>
      <c r="F3653" s="18"/>
      <c r="G3653" s="5"/>
      <c r="H3653" s="5"/>
      <c r="I3653" s="11"/>
      <c r="J3653" s="11"/>
      <c r="K3653" s="38"/>
      <c r="L3653" s="39"/>
      <c r="M3653" s="42">
        <f>IF(L3653="",I3653,(MIN(J3653,(L3653*1.6*J3653))))</f>
        <v>0</v>
      </c>
      <c r="N3653" s="43">
        <f>IF(M3653=0,0,(M3653/J3653))</f>
        <v>0</v>
      </c>
    </row>
    <row r="3654" spans="3:14">
      <c r="C3654" s="9"/>
      <c r="D3654" s="7" t="e">
        <f>SUMIF(B$3:B$3844,B3654,M$3:M$3844)/(SUMIF(B$3:B$3844,B3654,J$3:J$3844))</f>
        <v>#DIV/0!</v>
      </c>
      <c r="E3654" s="10"/>
      <c r="F3654" s="18"/>
      <c r="G3654" s="5"/>
      <c r="H3654" s="5"/>
      <c r="I3654" s="11"/>
      <c r="J3654" s="11"/>
      <c r="K3654" s="38"/>
      <c r="L3654" s="39"/>
      <c r="M3654" s="42">
        <f>IF(L3654="",I3654,(MIN(J3654,(L3654*1.6*J3654))))</f>
        <v>0</v>
      </c>
      <c r="N3654" s="43">
        <f>IF(M3654=0,0,(M3654/J3654))</f>
        <v>0</v>
      </c>
    </row>
    <row r="3655" spans="3:14">
      <c r="C3655" s="9"/>
      <c r="D3655" s="7" t="e">
        <f>SUMIF(B$3:B$3844,B3655,M$3:M$3844)/(SUMIF(B$3:B$3844,B3655,J$3:J$3844))</f>
        <v>#DIV/0!</v>
      </c>
      <c r="E3655" s="10"/>
      <c r="F3655" s="18"/>
      <c r="G3655" s="5"/>
      <c r="H3655" s="5"/>
      <c r="I3655" s="11"/>
      <c r="J3655" s="11"/>
      <c r="K3655" s="38"/>
      <c r="L3655" s="39"/>
      <c r="M3655" s="42">
        <f>IF(L3655="",I3655,(MIN(J3655,(L3655*1.6*J3655))))</f>
        <v>0</v>
      </c>
      <c r="N3655" s="43">
        <f>IF(M3655=0,0,(M3655/J3655))</f>
        <v>0</v>
      </c>
    </row>
    <row r="3656" spans="3:14">
      <c r="C3656" s="9"/>
      <c r="D3656" s="7" t="e">
        <f>SUMIF(B$3:B$3844,B3656,M$3:M$3844)/(SUMIF(B$3:B$3844,B3656,J$3:J$3844))</f>
        <v>#DIV/0!</v>
      </c>
      <c r="E3656" s="10"/>
      <c r="F3656" s="18"/>
      <c r="G3656" s="5"/>
      <c r="H3656" s="5"/>
      <c r="I3656" s="11"/>
      <c r="J3656" s="11"/>
      <c r="K3656" s="38"/>
      <c r="L3656" s="39"/>
      <c r="M3656" s="42">
        <f>IF(L3656="",I3656,(MIN(J3656,(L3656*1.6*J3656))))</f>
        <v>0</v>
      </c>
      <c r="N3656" s="43">
        <f>IF(M3656=0,0,(M3656/J3656))</f>
        <v>0</v>
      </c>
    </row>
    <row r="3657" spans="3:14">
      <c r="C3657" s="9"/>
      <c r="D3657" s="7" t="e">
        <f>SUMIF(B$3:B$3844,B3657,M$3:M$3844)/(SUMIF(B$3:B$3844,B3657,J$3:J$3844))</f>
        <v>#DIV/0!</v>
      </c>
      <c r="E3657" s="10"/>
      <c r="F3657" s="18"/>
      <c r="G3657" s="5"/>
      <c r="H3657" s="5"/>
      <c r="I3657" s="11"/>
      <c r="J3657" s="11"/>
      <c r="K3657" s="38"/>
      <c r="L3657" s="39"/>
      <c r="M3657" s="42">
        <f>IF(L3657="",I3657,(MIN(J3657,(L3657*1.6*J3657))))</f>
        <v>0</v>
      </c>
      <c r="N3657" s="43">
        <f>IF(M3657=0,0,(M3657/J3657))</f>
        <v>0</v>
      </c>
    </row>
    <row r="3658" spans="3:14">
      <c r="C3658" s="9"/>
      <c r="D3658" s="7" t="e">
        <f>SUMIF(B$3:B$3844,B3658,M$3:M$3844)/(SUMIF(B$3:B$3844,B3658,J$3:J$3844))</f>
        <v>#DIV/0!</v>
      </c>
      <c r="E3658" s="10"/>
      <c r="F3658" s="18"/>
      <c r="G3658" s="5"/>
      <c r="H3658" s="5"/>
      <c r="I3658" s="11"/>
      <c r="J3658" s="11"/>
      <c r="K3658" s="38"/>
      <c r="L3658" s="39"/>
      <c r="M3658" s="42">
        <f>IF(L3658="",I3658,(MIN(J3658,(L3658*1.6*J3658))))</f>
        <v>0</v>
      </c>
      <c r="N3658" s="43">
        <f>IF(M3658=0,0,(M3658/J3658))</f>
        <v>0</v>
      </c>
    </row>
    <row r="3659" spans="3:14">
      <c r="C3659" s="9"/>
      <c r="D3659" s="7" t="e">
        <f>SUMIF(B$3:B$3844,B3659,M$3:M$3844)/(SUMIF(B$3:B$3844,B3659,J$3:J$3844))</f>
        <v>#DIV/0!</v>
      </c>
      <c r="E3659" s="10"/>
      <c r="F3659" s="18"/>
      <c r="G3659" s="5"/>
      <c r="H3659" s="5"/>
      <c r="I3659" s="11"/>
      <c r="J3659" s="11"/>
      <c r="K3659" s="38"/>
      <c r="L3659" s="39"/>
      <c r="M3659" s="42">
        <f>IF(L3659="",I3659,(MIN(J3659,(L3659*1.6*J3659))))</f>
        <v>0</v>
      </c>
      <c r="N3659" s="43">
        <f>IF(M3659=0,0,(M3659/J3659))</f>
        <v>0</v>
      </c>
    </row>
    <row r="3660" spans="3:14">
      <c r="C3660" s="9"/>
      <c r="D3660" s="7" t="e">
        <f>SUMIF(B$3:B$3844,B3660,M$3:M$3844)/(SUMIF(B$3:B$3844,B3660,J$3:J$3844))</f>
        <v>#DIV/0!</v>
      </c>
      <c r="E3660" s="10"/>
      <c r="F3660" s="18"/>
      <c r="G3660" s="5"/>
      <c r="H3660" s="5"/>
      <c r="I3660" s="11"/>
      <c r="J3660" s="11"/>
      <c r="K3660" s="38"/>
      <c r="L3660" s="39"/>
      <c r="M3660" s="42">
        <f>IF(L3660="",I3660,(MIN(J3660,(L3660*1.6*J3660))))</f>
        <v>0</v>
      </c>
      <c r="N3660" s="43">
        <f>IF(M3660=0,0,(M3660/J3660))</f>
        <v>0</v>
      </c>
    </row>
    <row r="3661" spans="3:14">
      <c r="C3661" s="9"/>
      <c r="D3661" s="7" t="e">
        <f>SUMIF(B$3:B$3844,B3661,M$3:M$3844)/(SUMIF(B$3:B$3844,B3661,J$3:J$3844))</f>
        <v>#DIV/0!</v>
      </c>
      <c r="E3661" s="10"/>
      <c r="F3661" s="18"/>
      <c r="G3661" s="5"/>
      <c r="H3661" s="5"/>
      <c r="I3661" s="11"/>
      <c r="J3661" s="11"/>
      <c r="K3661" s="38"/>
      <c r="L3661" s="39"/>
      <c r="M3661" s="42">
        <f>IF(L3661="",I3661,(MIN(J3661,(L3661*1.6*J3661))))</f>
        <v>0</v>
      </c>
      <c r="N3661" s="43">
        <f>IF(M3661=0,0,(M3661/J3661))</f>
        <v>0</v>
      </c>
    </row>
    <row r="3662" spans="3:14">
      <c r="C3662" s="9"/>
      <c r="D3662" s="7" t="e">
        <f>SUMIF(B$3:B$3844,B3662,M$3:M$3844)/(SUMIF(B$3:B$3844,B3662,J$3:J$3844))</f>
        <v>#DIV/0!</v>
      </c>
      <c r="E3662" s="10"/>
      <c r="F3662" s="18"/>
      <c r="G3662" s="5"/>
      <c r="H3662" s="5"/>
      <c r="I3662" s="11"/>
      <c r="J3662" s="11"/>
      <c r="K3662" s="38"/>
      <c r="L3662" s="39"/>
      <c r="M3662" s="42">
        <f>IF(L3662="",I3662,(MIN(J3662,(L3662*1.6*J3662))))</f>
        <v>0</v>
      </c>
      <c r="N3662" s="43">
        <f>IF(M3662=0,0,(M3662/J3662))</f>
        <v>0</v>
      </c>
    </row>
    <row r="3663" spans="3:14">
      <c r="C3663" s="9"/>
      <c r="D3663" s="7" t="e">
        <f>SUMIF(B$3:B$3844,B3663,M$3:M$3844)/(SUMIF(B$3:B$3844,B3663,J$3:J$3844))</f>
        <v>#DIV/0!</v>
      </c>
      <c r="E3663" s="10"/>
      <c r="F3663" s="18"/>
      <c r="G3663" s="5"/>
      <c r="H3663" s="5"/>
      <c r="I3663" s="11"/>
      <c r="J3663" s="11"/>
      <c r="K3663" s="38"/>
      <c r="L3663" s="39"/>
      <c r="M3663" s="42">
        <f>IF(L3663="",I3663,(MIN(J3663,(L3663*1.6*J3663))))</f>
        <v>0</v>
      </c>
      <c r="N3663" s="43">
        <f>IF(M3663=0,0,(M3663/J3663))</f>
        <v>0</v>
      </c>
    </row>
    <row r="3664" spans="3:14">
      <c r="C3664" s="9"/>
      <c r="D3664" s="7" t="e">
        <f>SUMIF(B$3:B$3844,B3664,M$3:M$3844)/(SUMIF(B$3:B$3844,B3664,J$3:J$3844))</f>
        <v>#DIV/0!</v>
      </c>
      <c r="E3664" s="10"/>
      <c r="F3664" s="18"/>
      <c r="G3664" s="5"/>
      <c r="H3664" s="5"/>
      <c r="I3664" s="11"/>
      <c r="J3664" s="11"/>
      <c r="K3664" s="38"/>
      <c r="L3664" s="39"/>
      <c r="M3664" s="42">
        <f>IF(L3664="",I3664,(MIN(J3664,(L3664*1.6*J3664))))</f>
        <v>0</v>
      </c>
      <c r="N3664" s="43">
        <f>IF(M3664=0,0,(M3664/J3664))</f>
        <v>0</v>
      </c>
    </row>
    <row r="3665" spans="3:14">
      <c r="C3665" s="9"/>
      <c r="D3665" s="7" t="e">
        <f>SUMIF(B$3:B$3844,B3665,M$3:M$3844)/(SUMIF(B$3:B$3844,B3665,J$3:J$3844))</f>
        <v>#DIV/0!</v>
      </c>
      <c r="E3665" s="10"/>
      <c r="F3665" s="18"/>
      <c r="G3665" s="5"/>
      <c r="H3665" s="5"/>
      <c r="I3665" s="11"/>
      <c r="J3665" s="11"/>
      <c r="K3665" s="38"/>
      <c r="L3665" s="39"/>
      <c r="M3665" s="42">
        <f>IF(L3665="",I3665,(MIN(J3665,(L3665*1.6*J3665))))</f>
        <v>0</v>
      </c>
      <c r="N3665" s="43">
        <f>IF(M3665=0,0,(M3665/J3665))</f>
        <v>0</v>
      </c>
    </row>
    <row r="3666" spans="3:14">
      <c r="C3666" s="9"/>
      <c r="D3666" s="7" t="e">
        <f>SUMIF(B$3:B$3844,B3666,M$3:M$3844)/(SUMIF(B$3:B$3844,B3666,J$3:J$3844))</f>
        <v>#DIV/0!</v>
      </c>
      <c r="E3666" s="10"/>
      <c r="F3666" s="18"/>
      <c r="G3666" s="5"/>
      <c r="H3666" s="5"/>
      <c r="I3666" s="11"/>
      <c r="J3666" s="11"/>
      <c r="K3666" s="38"/>
      <c r="L3666" s="39"/>
      <c r="M3666" s="42">
        <f>IF(L3666="",I3666,(MIN(J3666,(L3666*1.6*J3666))))</f>
        <v>0</v>
      </c>
      <c r="N3666" s="43">
        <f>IF(M3666=0,0,(M3666/J3666))</f>
        <v>0</v>
      </c>
    </row>
    <row r="3667" spans="3:14">
      <c r="C3667" s="9"/>
      <c r="D3667" s="7" t="e">
        <f>SUMIF(B$3:B$3844,B3667,M$3:M$3844)/(SUMIF(B$3:B$3844,B3667,J$3:J$3844))</f>
        <v>#DIV/0!</v>
      </c>
      <c r="E3667" s="10"/>
      <c r="F3667" s="18"/>
      <c r="G3667" s="5"/>
      <c r="H3667" s="5"/>
      <c r="I3667" s="11"/>
      <c r="J3667" s="11"/>
      <c r="K3667" s="38"/>
      <c r="L3667" s="39"/>
      <c r="M3667" s="42">
        <f>IF(L3667="",I3667,(MIN(J3667,(L3667*1.6*J3667))))</f>
        <v>0</v>
      </c>
      <c r="N3667" s="43">
        <f>IF(M3667=0,0,(M3667/J3667))</f>
        <v>0</v>
      </c>
    </row>
    <row r="3668" spans="3:14">
      <c r="C3668" s="9"/>
      <c r="D3668" s="7" t="e">
        <f>SUMIF(B$3:B$3844,B3668,M$3:M$3844)/(SUMIF(B$3:B$3844,B3668,J$3:J$3844))</f>
        <v>#DIV/0!</v>
      </c>
      <c r="E3668" s="10"/>
      <c r="F3668" s="18"/>
      <c r="G3668" s="5"/>
      <c r="H3668" s="5"/>
      <c r="I3668" s="11"/>
      <c r="J3668" s="11"/>
      <c r="K3668" s="38"/>
      <c r="L3668" s="39"/>
      <c r="M3668" s="42">
        <f>IF(L3668="",I3668,(MIN(J3668,(L3668*1.6*J3668))))</f>
        <v>0</v>
      </c>
      <c r="N3668" s="43">
        <f>IF(M3668=0,0,(M3668/J3668))</f>
        <v>0</v>
      </c>
    </row>
    <row r="3669" spans="3:14">
      <c r="C3669" s="9"/>
      <c r="D3669" s="7" t="e">
        <f>SUMIF(B$3:B$3844,B3669,M$3:M$3844)/(SUMIF(B$3:B$3844,B3669,J$3:J$3844))</f>
        <v>#DIV/0!</v>
      </c>
      <c r="E3669" s="10"/>
      <c r="F3669" s="18"/>
      <c r="G3669" s="5"/>
      <c r="H3669" s="5"/>
      <c r="I3669" s="11"/>
      <c r="J3669" s="11"/>
      <c r="K3669" s="38"/>
      <c r="L3669" s="39"/>
      <c r="M3669" s="42">
        <f>IF(L3669="",I3669,(MIN(J3669,(L3669*1.6*J3669))))</f>
        <v>0</v>
      </c>
      <c r="N3669" s="43">
        <f>IF(M3669=0,0,(M3669/J3669))</f>
        <v>0</v>
      </c>
    </row>
    <row r="3670" spans="3:14">
      <c r="C3670" s="9"/>
      <c r="D3670" s="7" t="e">
        <f>SUMIF(B$3:B$3844,B3670,M$3:M$3844)/(SUMIF(B$3:B$3844,B3670,J$3:J$3844))</f>
        <v>#DIV/0!</v>
      </c>
      <c r="E3670" s="10"/>
      <c r="F3670" s="18"/>
      <c r="G3670" s="5"/>
      <c r="H3670" s="5"/>
      <c r="I3670" s="11"/>
      <c r="J3670" s="11"/>
      <c r="K3670" s="38"/>
      <c r="L3670" s="39"/>
      <c r="M3670" s="42">
        <f>IF(L3670="",I3670,(MIN(J3670,(L3670*1.6*J3670))))</f>
        <v>0</v>
      </c>
      <c r="N3670" s="43">
        <f>IF(M3670=0,0,(M3670/J3670))</f>
        <v>0</v>
      </c>
    </row>
    <row r="3671" spans="3:14">
      <c r="C3671" s="9"/>
      <c r="D3671" s="7" t="e">
        <f>SUMIF(B$3:B$3844,B3671,M$3:M$3844)/(SUMIF(B$3:B$3844,B3671,J$3:J$3844))</f>
        <v>#DIV/0!</v>
      </c>
      <c r="E3671" s="10"/>
      <c r="F3671" s="18"/>
      <c r="G3671" s="5"/>
      <c r="H3671" s="5"/>
      <c r="I3671" s="11"/>
      <c r="J3671" s="11"/>
      <c r="K3671" s="38"/>
      <c r="L3671" s="39"/>
      <c r="M3671" s="42">
        <f>IF(L3671="",I3671,(MIN(J3671,(L3671*1.6*J3671))))</f>
        <v>0</v>
      </c>
      <c r="N3671" s="43">
        <f>IF(M3671=0,0,(M3671/J3671))</f>
        <v>0</v>
      </c>
    </row>
    <row r="3672" spans="3:14">
      <c r="C3672" s="9"/>
      <c r="D3672" s="7" t="e">
        <f>SUMIF(B$3:B$3844,B3672,M$3:M$3844)/(SUMIF(B$3:B$3844,B3672,J$3:J$3844))</f>
        <v>#DIV/0!</v>
      </c>
      <c r="E3672" s="10"/>
      <c r="F3672" s="18"/>
      <c r="G3672" s="5"/>
      <c r="H3672" s="5"/>
      <c r="I3672" s="11"/>
      <c r="J3672" s="11"/>
      <c r="K3672" s="38"/>
      <c r="L3672" s="39"/>
      <c r="M3672" s="42">
        <f>IF(L3672="",I3672,(MIN(J3672,(L3672*1.6*J3672))))</f>
        <v>0</v>
      </c>
      <c r="N3672" s="43">
        <f>IF(M3672=0,0,(M3672/J3672))</f>
        <v>0</v>
      </c>
    </row>
    <row r="3673" spans="3:14">
      <c r="C3673" s="9"/>
      <c r="D3673" s="7" t="e">
        <f>SUMIF(B$3:B$3844,B3673,M$3:M$3844)/(SUMIF(B$3:B$3844,B3673,J$3:J$3844))</f>
        <v>#DIV/0!</v>
      </c>
      <c r="E3673" s="10"/>
      <c r="F3673" s="18"/>
      <c r="G3673" s="5"/>
      <c r="H3673" s="5"/>
      <c r="I3673" s="11"/>
      <c r="J3673" s="11"/>
      <c r="K3673" s="38"/>
      <c r="L3673" s="39"/>
      <c r="M3673" s="42">
        <f>IF(L3673="",I3673,(MIN(J3673,(L3673*1.6*J3673))))</f>
        <v>0</v>
      </c>
      <c r="N3673" s="43">
        <f>IF(M3673=0,0,(M3673/J3673))</f>
        <v>0</v>
      </c>
    </row>
    <row r="3674" spans="3:14">
      <c r="C3674" s="9"/>
      <c r="D3674" s="7" t="e">
        <f>SUMIF(B$3:B$3844,B3674,M$3:M$3844)/(SUMIF(B$3:B$3844,B3674,J$3:J$3844))</f>
        <v>#DIV/0!</v>
      </c>
      <c r="E3674" s="10"/>
      <c r="F3674" s="18"/>
      <c r="G3674" s="5"/>
      <c r="H3674" s="5"/>
      <c r="I3674" s="11"/>
      <c r="J3674" s="11"/>
      <c r="K3674" s="38"/>
      <c r="L3674" s="39"/>
      <c r="M3674" s="42">
        <f>IF(L3674="",I3674,(MIN(J3674,(L3674*1.6*J3674))))</f>
        <v>0</v>
      </c>
      <c r="N3674" s="43">
        <f>IF(M3674=0,0,(M3674/J3674))</f>
        <v>0</v>
      </c>
    </row>
    <row r="3675" spans="3:14">
      <c r="C3675" s="9"/>
      <c r="D3675" s="7" t="e">
        <f>SUMIF(B$3:B$3844,B3675,M$3:M$3844)/(SUMIF(B$3:B$3844,B3675,J$3:J$3844))</f>
        <v>#DIV/0!</v>
      </c>
      <c r="E3675" s="10"/>
      <c r="F3675" s="18"/>
      <c r="G3675" s="5"/>
      <c r="H3675" s="5"/>
      <c r="I3675" s="11"/>
      <c r="J3675" s="11"/>
      <c r="K3675" s="38"/>
      <c r="L3675" s="39"/>
      <c r="M3675" s="42">
        <f>IF(L3675="",I3675,(MIN(J3675,(L3675*1.6*J3675))))</f>
        <v>0</v>
      </c>
      <c r="N3675" s="43">
        <f>IF(M3675=0,0,(M3675/J3675))</f>
        <v>0</v>
      </c>
    </row>
    <row r="3676" spans="3:14">
      <c r="C3676" s="9"/>
      <c r="D3676" s="7" t="e">
        <f>SUMIF(B$3:B$3844,B3676,M$3:M$3844)/(SUMIF(B$3:B$3844,B3676,J$3:J$3844))</f>
        <v>#DIV/0!</v>
      </c>
      <c r="E3676" s="10"/>
      <c r="F3676" s="18"/>
      <c r="G3676" s="5"/>
      <c r="H3676" s="5"/>
      <c r="I3676" s="11"/>
      <c r="J3676" s="11"/>
      <c r="K3676" s="38"/>
      <c r="L3676" s="39"/>
      <c r="M3676" s="42">
        <f>IF(L3676="",I3676,(MIN(J3676,(L3676*1.6*J3676))))</f>
        <v>0</v>
      </c>
      <c r="N3676" s="43">
        <f>IF(M3676=0,0,(M3676/J3676))</f>
        <v>0</v>
      </c>
    </row>
    <row r="3677" spans="3:14">
      <c r="C3677" s="9"/>
      <c r="D3677" s="7" t="e">
        <f>SUMIF(B$3:B$3844,B3677,M$3:M$3844)/(SUMIF(B$3:B$3844,B3677,J$3:J$3844))</f>
        <v>#DIV/0!</v>
      </c>
      <c r="E3677" s="10"/>
      <c r="F3677" s="18"/>
      <c r="G3677" s="5"/>
      <c r="H3677" s="5"/>
      <c r="I3677" s="11"/>
      <c r="J3677" s="11"/>
      <c r="K3677" s="38"/>
      <c r="L3677" s="39"/>
      <c r="M3677" s="42">
        <f>IF(L3677="",I3677,(MIN(J3677,(L3677*1.6*J3677))))</f>
        <v>0</v>
      </c>
      <c r="N3677" s="43">
        <f>IF(M3677=0,0,(M3677/J3677))</f>
        <v>0</v>
      </c>
    </row>
    <row r="3678" spans="3:14">
      <c r="C3678" s="9"/>
      <c r="D3678" s="7" t="e">
        <f>SUMIF(B$3:B$3844,B3678,M$3:M$3844)/(SUMIF(B$3:B$3844,B3678,J$3:J$3844))</f>
        <v>#DIV/0!</v>
      </c>
      <c r="E3678" s="10"/>
      <c r="F3678" s="18"/>
      <c r="G3678" s="5"/>
      <c r="H3678" s="5"/>
      <c r="I3678" s="11"/>
      <c r="J3678" s="11"/>
      <c r="K3678" s="38"/>
      <c r="L3678" s="39"/>
      <c r="M3678" s="42">
        <f>IF(L3678="",I3678,(MIN(J3678,(L3678*1.6*J3678))))</f>
        <v>0</v>
      </c>
      <c r="N3678" s="43">
        <f>IF(M3678=0,0,(M3678/J3678))</f>
        <v>0</v>
      </c>
    </row>
    <row r="3679" spans="3:14">
      <c r="C3679" s="9"/>
      <c r="D3679" s="7" t="e">
        <f>SUMIF(B$3:B$3844,B3679,M$3:M$3844)/(SUMIF(B$3:B$3844,B3679,J$3:J$3844))</f>
        <v>#DIV/0!</v>
      </c>
      <c r="E3679" s="10"/>
      <c r="F3679" s="18"/>
      <c r="G3679" s="5"/>
      <c r="H3679" s="5"/>
      <c r="I3679" s="11"/>
      <c r="J3679" s="11"/>
      <c r="K3679" s="38"/>
      <c r="L3679" s="39"/>
      <c r="M3679" s="42">
        <f>IF(L3679="",I3679,(MIN(J3679,(L3679*1.6*J3679))))</f>
        <v>0</v>
      </c>
      <c r="N3679" s="43">
        <f>IF(M3679=0,0,(M3679/J3679))</f>
        <v>0</v>
      </c>
    </row>
    <row r="3680" spans="3:14">
      <c r="C3680" s="9"/>
      <c r="D3680" s="7" t="e">
        <f>SUMIF(B$3:B$3844,B3680,M$3:M$3844)/(SUMIF(B$3:B$3844,B3680,J$3:J$3844))</f>
        <v>#DIV/0!</v>
      </c>
      <c r="E3680" s="10"/>
      <c r="F3680" s="18"/>
      <c r="G3680" s="5"/>
      <c r="H3680" s="5"/>
      <c r="I3680" s="11"/>
      <c r="J3680" s="11"/>
      <c r="K3680" s="38"/>
      <c r="L3680" s="39"/>
      <c r="M3680" s="42">
        <f>IF(L3680="",I3680,(MIN(J3680,(L3680*1.6*J3680))))</f>
        <v>0</v>
      </c>
      <c r="N3680" s="43">
        <f>IF(M3680=0,0,(M3680/J3680))</f>
        <v>0</v>
      </c>
    </row>
    <row r="3681" spans="3:14">
      <c r="C3681" s="9"/>
      <c r="D3681" s="7" t="e">
        <f>SUMIF(B$3:B$3844,B3681,M$3:M$3844)/(SUMIF(B$3:B$3844,B3681,J$3:J$3844))</f>
        <v>#DIV/0!</v>
      </c>
      <c r="E3681" s="10"/>
      <c r="F3681" s="18"/>
      <c r="G3681" s="5"/>
      <c r="H3681" s="5"/>
      <c r="I3681" s="11"/>
      <c r="J3681" s="11"/>
      <c r="K3681" s="38"/>
      <c r="L3681" s="39"/>
      <c r="M3681" s="42">
        <f>IF(L3681="",I3681,(MIN(J3681,(L3681*1.6*J3681))))</f>
        <v>0</v>
      </c>
      <c r="N3681" s="43">
        <f>IF(M3681=0,0,(M3681/J3681))</f>
        <v>0</v>
      </c>
    </row>
    <row r="3682" spans="3:14">
      <c r="C3682" s="9"/>
      <c r="D3682" s="7" t="e">
        <f>SUMIF(B$3:B$3844,B3682,M$3:M$3844)/(SUMIF(B$3:B$3844,B3682,J$3:J$3844))</f>
        <v>#DIV/0!</v>
      </c>
      <c r="E3682" s="10"/>
      <c r="F3682" s="18"/>
      <c r="G3682" s="5"/>
      <c r="H3682" s="5"/>
      <c r="I3682" s="11"/>
      <c r="J3682" s="11"/>
      <c r="K3682" s="38"/>
      <c r="L3682" s="39"/>
      <c r="M3682" s="42">
        <f>IF(L3682="",I3682,(MIN(J3682,(L3682*1.6*J3682))))</f>
        <v>0</v>
      </c>
      <c r="N3682" s="43">
        <f>IF(M3682=0,0,(M3682/J3682))</f>
        <v>0</v>
      </c>
    </row>
    <row r="3683" spans="3:14">
      <c r="C3683" s="9"/>
      <c r="D3683" s="7" t="e">
        <f>SUMIF(B$3:B$3844,B3683,M$3:M$3844)/(SUMIF(B$3:B$3844,B3683,J$3:J$3844))</f>
        <v>#DIV/0!</v>
      </c>
      <c r="E3683" s="10"/>
      <c r="F3683" s="18"/>
      <c r="G3683" s="5"/>
      <c r="H3683" s="5"/>
      <c r="I3683" s="11"/>
      <c r="J3683" s="11"/>
      <c r="K3683" s="38"/>
      <c r="L3683" s="39"/>
      <c r="M3683" s="42">
        <f>IF(L3683="",I3683,(MIN(J3683,(L3683*1.6*J3683))))</f>
        <v>0</v>
      </c>
      <c r="N3683" s="43">
        <f>IF(M3683=0,0,(M3683/J3683))</f>
        <v>0</v>
      </c>
    </row>
    <row r="3684" spans="3:14">
      <c r="C3684" s="9"/>
      <c r="D3684" s="7" t="e">
        <f>SUMIF(B$3:B$3844,B3684,M$3:M$3844)/(SUMIF(B$3:B$3844,B3684,J$3:J$3844))</f>
        <v>#DIV/0!</v>
      </c>
      <c r="E3684" s="10"/>
      <c r="F3684" s="18"/>
      <c r="G3684" s="5"/>
      <c r="H3684" s="5"/>
      <c r="I3684" s="11"/>
      <c r="J3684" s="11"/>
      <c r="K3684" s="38"/>
      <c r="L3684" s="39"/>
      <c r="M3684" s="42">
        <f>IF(L3684="",I3684,(MIN(J3684,(L3684*1.6*J3684))))</f>
        <v>0</v>
      </c>
      <c r="N3684" s="43">
        <f>IF(M3684=0,0,(M3684/J3684))</f>
        <v>0</v>
      </c>
    </row>
    <row r="3685" spans="3:14">
      <c r="C3685" s="9"/>
      <c r="D3685" s="7" t="e">
        <f>SUMIF(B$3:B$3844,B3685,M$3:M$3844)/(SUMIF(B$3:B$3844,B3685,J$3:J$3844))</f>
        <v>#DIV/0!</v>
      </c>
      <c r="E3685" s="10"/>
      <c r="F3685" s="18"/>
      <c r="G3685" s="5"/>
      <c r="H3685" s="5"/>
      <c r="I3685" s="11"/>
      <c r="J3685" s="11"/>
      <c r="K3685" s="38"/>
      <c r="L3685" s="39"/>
      <c r="M3685" s="42">
        <f>IF(L3685="",I3685,(MIN(J3685,(L3685*1.6*J3685))))</f>
        <v>0</v>
      </c>
      <c r="N3685" s="43">
        <f>IF(M3685=0,0,(M3685/J3685))</f>
        <v>0</v>
      </c>
    </row>
    <row r="3686" spans="3:14">
      <c r="C3686" s="9"/>
      <c r="D3686" s="7" t="e">
        <f>SUMIF(B$3:B$3844,B3686,M$3:M$3844)/(SUMIF(B$3:B$3844,B3686,J$3:J$3844))</f>
        <v>#DIV/0!</v>
      </c>
      <c r="E3686" s="10"/>
      <c r="F3686" s="18"/>
      <c r="G3686" s="5"/>
      <c r="H3686" s="5"/>
      <c r="I3686" s="11"/>
      <c r="J3686" s="11"/>
      <c r="K3686" s="38"/>
      <c r="L3686" s="39"/>
      <c r="M3686" s="42">
        <f>IF(L3686="",I3686,(MIN(J3686,(L3686*1.6*J3686))))</f>
        <v>0</v>
      </c>
      <c r="N3686" s="43">
        <f>IF(M3686=0,0,(M3686/J3686))</f>
        <v>0</v>
      </c>
    </row>
    <row r="3687" spans="3:14">
      <c r="C3687" s="9"/>
      <c r="D3687" s="7" t="e">
        <f>SUMIF(B$3:B$3844,B3687,M$3:M$3844)/(SUMIF(B$3:B$3844,B3687,J$3:J$3844))</f>
        <v>#DIV/0!</v>
      </c>
      <c r="E3687" s="10"/>
      <c r="F3687" s="18"/>
      <c r="G3687" s="5"/>
      <c r="H3687" s="5"/>
      <c r="I3687" s="11"/>
      <c r="J3687" s="11"/>
      <c r="K3687" s="38"/>
      <c r="L3687" s="39"/>
      <c r="M3687" s="42">
        <f>IF(L3687="",I3687,(MIN(J3687,(L3687*1.6*J3687))))</f>
        <v>0</v>
      </c>
      <c r="N3687" s="43">
        <f>IF(M3687=0,0,(M3687/J3687))</f>
        <v>0</v>
      </c>
    </row>
    <row r="3688" spans="3:14">
      <c r="C3688" s="9"/>
      <c r="D3688" s="7" t="e">
        <f>SUMIF(B$3:B$3844,B3688,M$3:M$3844)/(SUMIF(B$3:B$3844,B3688,J$3:J$3844))</f>
        <v>#DIV/0!</v>
      </c>
      <c r="E3688" s="10"/>
      <c r="F3688" s="18"/>
      <c r="G3688" s="5"/>
      <c r="H3688" s="5"/>
      <c r="I3688" s="11"/>
      <c r="J3688" s="11"/>
      <c r="K3688" s="38"/>
      <c r="L3688" s="39"/>
      <c r="M3688" s="42">
        <f>IF(L3688="",I3688,(MIN(J3688,(L3688*1.6*J3688))))</f>
        <v>0</v>
      </c>
      <c r="N3688" s="43">
        <f>IF(M3688=0,0,(M3688/J3688))</f>
        <v>0</v>
      </c>
    </row>
    <row r="3689" spans="3:14">
      <c r="C3689" s="9"/>
      <c r="D3689" s="7" t="e">
        <f>SUMIF(B$3:B$3844,B3689,M$3:M$3844)/(SUMIF(B$3:B$3844,B3689,J$3:J$3844))</f>
        <v>#DIV/0!</v>
      </c>
      <c r="E3689" s="10"/>
      <c r="F3689" s="18"/>
      <c r="G3689" s="5"/>
      <c r="H3689" s="5"/>
      <c r="I3689" s="11"/>
      <c r="J3689" s="11"/>
      <c r="K3689" s="38"/>
      <c r="L3689" s="39"/>
      <c r="M3689" s="42">
        <f>IF(L3689="",I3689,(MIN(J3689,(L3689*1.6*J3689))))</f>
        <v>0</v>
      </c>
      <c r="N3689" s="43">
        <f>IF(M3689=0,0,(M3689/J3689))</f>
        <v>0</v>
      </c>
    </row>
    <row r="3690" spans="3:14">
      <c r="C3690" s="9"/>
      <c r="D3690" s="7" t="e">
        <f>SUMIF(B$3:B$3844,B3690,M$3:M$3844)/(SUMIF(B$3:B$3844,B3690,J$3:J$3844))</f>
        <v>#DIV/0!</v>
      </c>
      <c r="E3690" s="10"/>
      <c r="F3690" s="18"/>
      <c r="G3690" s="5"/>
      <c r="H3690" s="5"/>
      <c r="I3690" s="11"/>
      <c r="J3690" s="11"/>
      <c r="K3690" s="38"/>
      <c r="L3690" s="39"/>
      <c r="M3690" s="42">
        <f>IF(L3690="",I3690,(MIN(J3690,(L3690*1.6*J3690))))</f>
        <v>0</v>
      </c>
      <c r="N3690" s="43">
        <f>IF(M3690=0,0,(M3690/J3690))</f>
        <v>0</v>
      </c>
    </row>
    <row r="3691" spans="3:14">
      <c r="C3691" s="9"/>
      <c r="D3691" s="7" t="e">
        <f>SUMIF(B$3:B$3844,B3691,M$3:M$3844)/(SUMIF(B$3:B$3844,B3691,J$3:J$3844))</f>
        <v>#DIV/0!</v>
      </c>
      <c r="E3691" s="10"/>
      <c r="F3691" s="18"/>
      <c r="G3691" s="5"/>
      <c r="H3691" s="5"/>
      <c r="I3691" s="11"/>
      <c r="J3691" s="11"/>
      <c r="K3691" s="38"/>
      <c r="L3691" s="39"/>
      <c r="M3691" s="42">
        <f>IF(L3691="",I3691,(MIN(J3691,(L3691*1.6*J3691))))</f>
        <v>0</v>
      </c>
      <c r="N3691" s="43">
        <f>IF(M3691=0,0,(M3691/J3691))</f>
        <v>0</v>
      </c>
    </row>
    <row r="3692" spans="3:14">
      <c r="C3692" s="9"/>
      <c r="D3692" s="7" t="e">
        <f>SUMIF(B$3:B$3844,B3692,M$3:M$3844)/(SUMIF(B$3:B$3844,B3692,J$3:J$3844))</f>
        <v>#DIV/0!</v>
      </c>
      <c r="E3692" s="10"/>
      <c r="F3692" s="18"/>
      <c r="G3692" s="5"/>
      <c r="H3692" s="5"/>
      <c r="I3692" s="11"/>
      <c r="J3692" s="11"/>
      <c r="K3692" s="38"/>
      <c r="L3692" s="39"/>
      <c r="M3692" s="42">
        <f>IF(L3692="",I3692,(MIN(J3692,(L3692*1.6*J3692))))</f>
        <v>0</v>
      </c>
      <c r="N3692" s="43">
        <f>IF(M3692=0,0,(M3692/J3692))</f>
        <v>0</v>
      </c>
    </row>
    <row r="3693" spans="3:14">
      <c r="C3693" s="9"/>
      <c r="D3693" s="7" t="e">
        <f>SUMIF(B$3:B$3844,B3693,M$3:M$3844)/(SUMIF(B$3:B$3844,B3693,J$3:J$3844))</f>
        <v>#DIV/0!</v>
      </c>
      <c r="E3693" s="10"/>
      <c r="F3693" s="18"/>
      <c r="G3693" s="5"/>
      <c r="H3693" s="5"/>
      <c r="I3693" s="11"/>
      <c r="J3693" s="11"/>
      <c r="K3693" s="38"/>
      <c r="L3693" s="39"/>
      <c r="M3693" s="42">
        <f>IF(L3693="",I3693,(MIN(J3693,(L3693*1.6*J3693))))</f>
        <v>0</v>
      </c>
      <c r="N3693" s="43">
        <f>IF(M3693=0,0,(M3693/J3693))</f>
        <v>0</v>
      </c>
    </row>
    <row r="3694" spans="3:14">
      <c r="C3694" s="9"/>
      <c r="D3694" s="7" t="e">
        <f>SUMIF(B$3:B$3844,B3694,M$3:M$3844)/(SUMIF(B$3:B$3844,B3694,J$3:J$3844))</f>
        <v>#DIV/0!</v>
      </c>
      <c r="E3694" s="10"/>
      <c r="F3694" s="18"/>
      <c r="G3694" s="5"/>
      <c r="H3694" s="5"/>
      <c r="I3694" s="11"/>
      <c r="J3694" s="11"/>
      <c r="K3694" s="38"/>
      <c r="L3694" s="39"/>
      <c r="M3694" s="42">
        <f>IF(L3694="",I3694,(MIN(J3694,(L3694*1.6*J3694))))</f>
        <v>0</v>
      </c>
      <c r="N3694" s="43">
        <f>IF(M3694=0,0,(M3694/J3694))</f>
        <v>0</v>
      </c>
    </row>
    <row r="3695" spans="3:14">
      <c r="C3695" s="9"/>
      <c r="D3695" s="7" t="e">
        <f>SUMIF(B$3:B$3844,B3695,M$3:M$3844)/(SUMIF(B$3:B$3844,B3695,J$3:J$3844))</f>
        <v>#DIV/0!</v>
      </c>
      <c r="E3695" s="10"/>
      <c r="F3695" s="18"/>
      <c r="G3695" s="5"/>
      <c r="H3695" s="5"/>
      <c r="I3695" s="11"/>
      <c r="J3695" s="11"/>
      <c r="K3695" s="38"/>
      <c r="L3695" s="39"/>
      <c r="M3695" s="42">
        <f>IF(L3695="",I3695,(MIN(J3695,(L3695*1.6*J3695))))</f>
        <v>0</v>
      </c>
      <c r="N3695" s="43">
        <f>IF(M3695=0,0,(M3695/J3695))</f>
        <v>0</v>
      </c>
    </row>
    <row r="3696" spans="3:14">
      <c r="C3696" s="9"/>
      <c r="D3696" s="7" t="e">
        <f>SUMIF(B$3:B$3844,B3696,M$3:M$3844)/(SUMIF(B$3:B$3844,B3696,J$3:J$3844))</f>
        <v>#DIV/0!</v>
      </c>
      <c r="E3696" s="10"/>
      <c r="F3696" s="18"/>
      <c r="G3696" s="5"/>
      <c r="H3696" s="5"/>
      <c r="I3696" s="11"/>
      <c r="J3696" s="11"/>
      <c r="K3696" s="38"/>
      <c r="L3696" s="39"/>
      <c r="M3696" s="42">
        <f>IF(L3696="",I3696,(MIN(J3696,(L3696*1.6*J3696))))</f>
        <v>0</v>
      </c>
      <c r="N3696" s="43">
        <f>IF(M3696=0,0,(M3696/J3696))</f>
        <v>0</v>
      </c>
    </row>
    <row r="3697" spans="3:14">
      <c r="C3697" s="9"/>
      <c r="D3697" s="7" t="e">
        <f>SUMIF(B$3:B$3844,B3697,M$3:M$3844)/(SUMIF(B$3:B$3844,B3697,J$3:J$3844))</f>
        <v>#DIV/0!</v>
      </c>
      <c r="E3697" s="10"/>
      <c r="F3697" s="18"/>
      <c r="G3697" s="5"/>
      <c r="H3697" s="5"/>
      <c r="I3697" s="11"/>
      <c r="J3697" s="11"/>
      <c r="K3697" s="38"/>
      <c r="L3697" s="39"/>
      <c r="M3697" s="42">
        <f>IF(L3697="",I3697,(MIN(J3697,(L3697*1.6*J3697))))</f>
        <v>0</v>
      </c>
      <c r="N3697" s="43">
        <f>IF(M3697=0,0,(M3697/J3697))</f>
        <v>0</v>
      </c>
    </row>
    <row r="3698" spans="3:14">
      <c r="C3698" s="9"/>
      <c r="D3698" s="7" t="e">
        <f>SUMIF(B$3:B$3844,B3698,M$3:M$3844)/(SUMIF(B$3:B$3844,B3698,J$3:J$3844))</f>
        <v>#DIV/0!</v>
      </c>
      <c r="E3698" s="10"/>
      <c r="F3698" s="18"/>
      <c r="G3698" s="5"/>
      <c r="H3698" s="5"/>
      <c r="I3698" s="11"/>
      <c r="J3698" s="11"/>
      <c r="K3698" s="38"/>
      <c r="L3698" s="39"/>
      <c r="M3698" s="42">
        <f>IF(L3698="",I3698,(MIN(J3698,(L3698*1.6*J3698))))</f>
        <v>0</v>
      </c>
      <c r="N3698" s="43">
        <f>IF(M3698=0,0,(M3698/J3698))</f>
        <v>0</v>
      </c>
    </row>
    <row r="3699" spans="3:14">
      <c r="C3699" s="9"/>
      <c r="D3699" s="7" t="e">
        <f>SUMIF(B$3:B$3844,B3699,M$3:M$3844)/(SUMIF(B$3:B$3844,B3699,J$3:J$3844))</f>
        <v>#DIV/0!</v>
      </c>
      <c r="E3699" s="10"/>
      <c r="F3699" s="18"/>
      <c r="G3699" s="5"/>
      <c r="H3699" s="5"/>
      <c r="I3699" s="11"/>
      <c r="J3699" s="11"/>
      <c r="K3699" s="38"/>
      <c r="L3699" s="39"/>
      <c r="M3699" s="42">
        <f>IF(L3699="",I3699,(MIN(J3699,(L3699*1.6*J3699))))</f>
        <v>0</v>
      </c>
      <c r="N3699" s="43">
        <f>IF(M3699=0,0,(M3699/J3699))</f>
        <v>0</v>
      </c>
    </row>
    <row r="3700" spans="3:14">
      <c r="C3700" s="9"/>
      <c r="D3700" s="7" t="e">
        <f>SUMIF(B$3:B$3844,B3700,M$3:M$3844)/(SUMIF(B$3:B$3844,B3700,J$3:J$3844))</f>
        <v>#DIV/0!</v>
      </c>
      <c r="E3700" s="10"/>
      <c r="F3700" s="18"/>
      <c r="G3700" s="5"/>
      <c r="H3700" s="5"/>
      <c r="I3700" s="11"/>
      <c r="J3700" s="11"/>
      <c r="K3700" s="38"/>
      <c r="L3700" s="39"/>
      <c r="M3700" s="42">
        <f>IF(L3700="",I3700,(MIN(J3700,(L3700*1.6*J3700))))</f>
        <v>0</v>
      </c>
      <c r="N3700" s="43">
        <f>IF(M3700=0,0,(M3700/J3700))</f>
        <v>0</v>
      </c>
    </row>
    <row r="3701" spans="3:14">
      <c r="C3701" s="9"/>
      <c r="D3701" s="7" t="e">
        <f>SUMIF(B$3:B$3844,B3701,M$3:M$3844)/(SUMIF(B$3:B$3844,B3701,J$3:J$3844))</f>
        <v>#DIV/0!</v>
      </c>
      <c r="E3701" s="10"/>
      <c r="F3701" s="18"/>
      <c r="G3701" s="5"/>
      <c r="H3701" s="5"/>
      <c r="I3701" s="11"/>
      <c r="J3701" s="11"/>
      <c r="K3701" s="38"/>
      <c r="L3701" s="39"/>
      <c r="M3701" s="42">
        <f>IF(L3701="",I3701,(MIN(J3701,(L3701*1.6*J3701))))</f>
        <v>0</v>
      </c>
      <c r="N3701" s="43">
        <f>IF(M3701=0,0,(M3701/J3701))</f>
        <v>0</v>
      </c>
    </row>
    <row r="3702" spans="3:14">
      <c r="C3702" s="9"/>
      <c r="D3702" s="7" t="e">
        <f>SUMIF(B$3:B$3844,B3702,M$3:M$3844)/(SUMIF(B$3:B$3844,B3702,J$3:J$3844))</f>
        <v>#DIV/0!</v>
      </c>
      <c r="E3702" s="10"/>
      <c r="F3702" s="18"/>
      <c r="G3702" s="5"/>
      <c r="H3702" s="5"/>
      <c r="I3702" s="11"/>
      <c r="J3702" s="11"/>
      <c r="K3702" s="38"/>
      <c r="L3702" s="39"/>
      <c r="M3702" s="42">
        <f>IF(L3702="",I3702,(MIN(J3702,(L3702*1.6*J3702))))</f>
        <v>0</v>
      </c>
      <c r="N3702" s="43">
        <f>IF(M3702=0,0,(M3702/J3702))</f>
        <v>0</v>
      </c>
    </row>
    <row r="3703" spans="3:14">
      <c r="C3703" s="9"/>
      <c r="D3703" s="7" t="e">
        <f>SUMIF(B$3:B$3844,B3703,M$3:M$3844)/(SUMIF(B$3:B$3844,B3703,J$3:J$3844))</f>
        <v>#DIV/0!</v>
      </c>
      <c r="E3703" s="10"/>
      <c r="F3703" s="18"/>
      <c r="G3703" s="5"/>
      <c r="H3703" s="5"/>
      <c r="I3703" s="11"/>
      <c r="J3703" s="11"/>
      <c r="K3703" s="38"/>
      <c r="L3703" s="39"/>
      <c r="M3703" s="42">
        <f>IF(L3703="",I3703,(MIN(J3703,(L3703*1.6*J3703))))</f>
        <v>0</v>
      </c>
      <c r="N3703" s="43">
        <f>IF(M3703=0,0,(M3703/J3703))</f>
        <v>0</v>
      </c>
    </row>
    <row r="3704" spans="3:14">
      <c r="C3704" s="9"/>
      <c r="D3704" s="7" t="e">
        <f>SUMIF(B$3:B$3844,B3704,M$3:M$3844)/(SUMIF(B$3:B$3844,B3704,J$3:J$3844))</f>
        <v>#DIV/0!</v>
      </c>
      <c r="E3704" s="10"/>
      <c r="F3704" s="18"/>
      <c r="G3704" s="5"/>
      <c r="H3704" s="5"/>
      <c r="I3704" s="11"/>
      <c r="J3704" s="11"/>
      <c r="K3704" s="38"/>
      <c r="L3704" s="39"/>
      <c r="M3704" s="42">
        <f>IF(L3704="",I3704,(MIN(J3704,(L3704*1.6*J3704))))</f>
        <v>0</v>
      </c>
      <c r="N3704" s="43">
        <f>IF(M3704=0,0,(M3704/J3704))</f>
        <v>0</v>
      </c>
    </row>
    <row r="3705" spans="3:14">
      <c r="C3705" s="9"/>
      <c r="D3705" s="7" t="e">
        <f>SUMIF(B$3:B$3844,B3705,M$3:M$3844)/(SUMIF(B$3:B$3844,B3705,J$3:J$3844))</f>
        <v>#DIV/0!</v>
      </c>
      <c r="E3705" s="10"/>
      <c r="F3705" s="18"/>
      <c r="G3705" s="5"/>
      <c r="H3705" s="5"/>
      <c r="I3705" s="11"/>
      <c r="J3705" s="11"/>
      <c r="K3705" s="38"/>
      <c r="L3705" s="39"/>
      <c r="M3705" s="42">
        <f>IF(L3705="",I3705,(MIN(J3705,(L3705*1.6*J3705))))</f>
        <v>0</v>
      </c>
      <c r="N3705" s="43">
        <f>IF(M3705=0,0,(M3705/J3705))</f>
        <v>0</v>
      </c>
    </row>
    <row r="3706" spans="3:14">
      <c r="C3706" s="9"/>
      <c r="D3706" s="7" t="e">
        <f>SUMIF(B$3:B$3844,B3706,M$3:M$3844)/(SUMIF(B$3:B$3844,B3706,J$3:J$3844))</f>
        <v>#DIV/0!</v>
      </c>
      <c r="E3706" s="10"/>
      <c r="F3706" s="18"/>
      <c r="G3706" s="5"/>
      <c r="H3706" s="5"/>
      <c r="I3706" s="11"/>
      <c r="J3706" s="11"/>
      <c r="K3706" s="38"/>
      <c r="L3706" s="39"/>
      <c r="M3706" s="42">
        <f>IF(L3706="",I3706,(MIN(J3706,(L3706*1.6*J3706))))</f>
        <v>0</v>
      </c>
      <c r="N3706" s="43">
        <f>IF(M3706=0,0,(M3706/J3706))</f>
        <v>0</v>
      </c>
    </row>
    <row r="3707" spans="3:14">
      <c r="C3707" s="9"/>
      <c r="D3707" s="7" t="e">
        <f>SUMIF(B$3:B$3844,B3707,M$3:M$3844)/(SUMIF(B$3:B$3844,B3707,J$3:J$3844))</f>
        <v>#DIV/0!</v>
      </c>
      <c r="E3707" s="10"/>
      <c r="F3707" s="18"/>
      <c r="G3707" s="5"/>
      <c r="H3707" s="5"/>
      <c r="I3707" s="11"/>
      <c r="J3707" s="11"/>
      <c r="K3707" s="38"/>
      <c r="L3707" s="39"/>
      <c r="M3707" s="42">
        <f>IF(L3707="",I3707,(MIN(J3707,(L3707*1.6*J3707))))</f>
        <v>0</v>
      </c>
      <c r="N3707" s="43">
        <f>IF(M3707=0,0,(M3707/J3707))</f>
        <v>0</v>
      </c>
    </row>
    <row r="3708" spans="3:14">
      <c r="C3708" s="9"/>
      <c r="D3708" s="7" t="e">
        <f>SUMIF(B$3:B$3844,B3708,M$3:M$3844)/(SUMIF(B$3:B$3844,B3708,J$3:J$3844))</f>
        <v>#DIV/0!</v>
      </c>
      <c r="E3708" s="10"/>
      <c r="F3708" s="18"/>
      <c r="G3708" s="5"/>
      <c r="H3708" s="5"/>
      <c r="I3708" s="11"/>
      <c r="J3708" s="11"/>
      <c r="K3708" s="38"/>
      <c r="L3708" s="39"/>
      <c r="M3708" s="42">
        <f>IF(L3708="",I3708,(MIN(J3708,(L3708*1.6*J3708))))</f>
        <v>0</v>
      </c>
      <c r="N3708" s="43">
        <f>IF(M3708=0,0,(M3708/J3708))</f>
        <v>0</v>
      </c>
    </row>
    <row r="3709" spans="3:14">
      <c r="C3709" s="9"/>
      <c r="D3709" s="7" t="e">
        <f>SUMIF(B$3:B$3844,B3709,M$3:M$3844)/(SUMIF(B$3:B$3844,B3709,J$3:J$3844))</f>
        <v>#DIV/0!</v>
      </c>
      <c r="E3709" s="10"/>
      <c r="F3709" s="18"/>
      <c r="G3709" s="5"/>
      <c r="H3709" s="5"/>
      <c r="I3709" s="11"/>
      <c r="J3709" s="11"/>
      <c r="K3709" s="38"/>
      <c r="L3709" s="39"/>
      <c r="M3709" s="42">
        <f>IF(L3709="",I3709,(MIN(J3709,(L3709*1.6*J3709))))</f>
        <v>0</v>
      </c>
      <c r="N3709" s="43">
        <f>IF(M3709=0,0,(M3709/J3709))</f>
        <v>0</v>
      </c>
    </row>
    <row r="3710" spans="3:14">
      <c r="C3710" s="9"/>
      <c r="D3710" s="7" t="e">
        <f>SUMIF(B$3:B$3844,B3710,M$3:M$3844)/(SUMIF(B$3:B$3844,B3710,J$3:J$3844))</f>
        <v>#DIV/0!</v>
      </c>
      <c r="E3710" s="10"/>
      <c r="F3710" s="18"/>
      <c r="G3710" s="5"/>
      <c r="H3710" s="5"/>
      <c r="I3710" s="11"/>
      <c r="J3710" s="11"/>
      <c r="K3710" s="38"/>
      <c r="L3710" s="39"/>
      <c r="M3710" s="42">
        <f>IF(L3710="",I3710,(MIN(J3710,(L3710*1.6*J3710))))</f>
        <v>0</v>
      </c>
      <c r="N3710" s="43">
        <f>IF(M3710=0,0,(M3710/J3710))</f>
        <v>0</v>
      </c>
    </row>
    <row r="3711" spans="3:14">
      <c r="C3711" s="9"/>
      <c r="D3711" s="7" t="e">
        <f>SUMIF(B$3:B$3844,B3711,M$3:M$3844)/(SUMIF(B$3:B$3844,B3711,J$3:J$3844))</f>
        <v>#DIV/0!</v>
      </c>
      <c r="E3711" s="10"/>
      <c r="F3711" s="18"/>
      <c r="G3711" s="5"/>
      <c r="H3711" s="5"/>
      <c r="I3711" s="11"/>
      <c r="J3711" s="11"/>
      <c r="K3711" s="38"/>
      <c r="L3711" s="39"/>
      <c r="M3711" s="42">
        <f>IF(L3711="",I3711,(MIN(J3711,(L3711*1.6*J3711))))</f>
        <v>0</v>
      </c>
      <c r="N3711" s="43">
        <f>IF(M3711=0,0,(M3711/J3711))</f>
        <v>0</v>
      </c>
    </row>
    <row r="3712" spans="3:14">
      <c r="C3712" s="9"/>
      <c r="D3712" s="7" t="e">
        <f>SUMIF(B$3:B$3844,B3712,M$3:M$3844)/(SUMIF(B$3:B$3844,B3712,J$3:J$3844))</f>
        <v>#DIV/0!</v>
      </c>
      <c r="E3712" s="10"/>
      <c r="F3712" s="18"/>
      <c r="G3712" s="5"/>
      <c r="H3712" s="5"/>
      <c r="I3712" s="11"/>
      <c r="J3712" s="11"/>
      <c r="K3712" s="38"/>
      <c r="L3712" s="39"/>
      <c r="M3712" s="42">
        <f>IF(L3712="",I3712,(MIN(J3712,(L3712*1.6*J3712))))</f>
        <v>0</v>
      </c>
      <c r="N3712" s="43">
        <f>IF(M3712=0,0,(M3712/J3712))</f>
        <v>0</v>
      </c>
    </row>
    <row r="3713" spans="3:14">
      <c r="C3713" s="9"/>
      <c r="D3713" s="7" t="e">
        <f>SUMIF(B$3:B$3844,B3713,M$3:M$3844)/(SUMIF(B$3:B$3844,B3713,J$3:J$3844))</f>
        <v>#DIV/0!</v>
      </c>
      <c r="E3713" s="10"/>
      <c r="F3713" s="18"/>
      <c r="G3713" s="5"/>
      <c r="H3713" s="5"/>
      <c r="I3713" s="11"/>
      <c r="J3713" s="11"/>
      <c r="K3713" s="38"/>
      <c r="L3713" s="39"/>
      <c r="M3713" s="42">
        <f>IF(L3713="",I3713,(MIN(J3713,(L3713*1.6*J3713))))</f>
        <v>0</v>
      </c>
      <c r="N3713" s="43">
        <f>IF(M3713=0,0,(M3713/J3713))</f>
        <v>0</v>
      </c>
    </row>
    <row r="3714" spans="3:14">
      <c r="C3714" s="9"/>
      <c r="D3714" s="7" t="e">
        <f>SUMIF(B$3:B$3844,B3714,M$3:M$3844)/(SUMIF(B$3:B$3844,B3714,J$3:J$3844))</f>
        <v>#DIV/0!</v>
      </c>
      <c r="E3714" s="10"/>
      <c r="F3714" s="18"/>
      <c r="G3714" s="5"/>
      <c r="H3714" s="5"/>
      <c r="I3714" s="11"/>
      <c r="J3714" s="11"/>
      <c r="K3714" s="38"/>
      <c r="L3714" s="39"/>
      <c r="M3714" s="42">
        <f>IF(L3714="",I3714,(MIN(J3714,(L3714*1.6*J3714))))</f>
        <v>0</v>
      </c>
      <c r="N3714" s="43">
        <f>IF(M3714=0,0,(M3714/J3714))</f>
        <v>0</v>
      </c>
    </row>
    <row r="3715" spans="3:14">
      <c r="C3715" s="9"/>
      <c r="D3715" s="7" t="e">
        <f>SUMIF(B$3:B$3844,B3715,M$3:M$3844)/(SUMIF(B$3:B$3844,B3715,J$3:J$3844))</f>
        <v>#DIV/0!</v>
      </c>
      <c r="E3715" s="10"/>
      <c r="F3715" s="18"/>
      <c r="G3715" s="5"/>
      <c r="H3715" s="5"/>
      <c r="I3715" s="11"/>
      <c r="J3715" s="11"/>
      <c r="K3715" s="38"/>
      <c r="L3715" s="39"/>
      <c r="M3715" s="42">
        <f>IF(L3715="",I3715,(MIN(J3715,(L3715*1.6*J3715))))</f>
        <v>0</v>
      </c>
      <c r="N3715" s="43">
        <f>IF(M3715=0,0,(M3715/J3715))</f>
        <v>0</v>
      </c>
    </row>
    <row r="3716" spans="3:14">
      <c r="C3716" s="9"/>
      <c r="D3716" s="7" t="e">
        <f>SUMIF(B$3:B$3844,B3716,M$3:M$3844)/(SUMIF(B$3:B$3844,B3716,J$3:J$3844))</f>
        <v>#DIV/0!</v>
      </c>
      <c r="E3716" s="10"/>
      <c r="F3716" s="18"/>
      <c r="G3716" s="5"/>
      <c r="H3716" s="5"/>
      <c r="I3716" s="11"/>
      <c r="J3716" s="11"/>
      <c r="K3716" s="38"/>
      <c r="L3716" s="39"/>
      <c r="M3716" s="42">
        <f>IF(L3716="",I3716,(MIN(J3716,(L3716*1.6*J3716))))</f>
        <v>0</v>
      </c>
      <c r="N3716" s="43">
        <f>IF(M3716=0,0,(M3716/J3716))</f>
        <v>0</v>
      </c>
    </row>
    <row r="3717" spans="3:14">
      <c r="C3717" s="9"/>
      <c r="D3717" s="7" t="e">
        <f>SUMIF(B$3:B$3844,B3717,M$3:M$3844)/(SUMIF(B$3:B$3844,B3717,J$3:J$3844))</f>
        <v>#DIV/0!</v>
      </c>
      <c r="E3717" s="10"/>
      <c r="F3717" s="18"/>
      <c r="G3717" s="5"/>
      <c r="H3717" s="5"/>
      <c r="I3717" s="11"/>
      <c r="J3717" s="11"/>
      <c r="K3717" s="38"/>
      <c r="L3717" s="39"/>
      <c r="M3717" s="42">
        <f>IF(L3717="",I3717,(MIN(J3717,(L3717*1.6*J3717))))</f>
        <v>0</v>
      </c>
      <c r="N3717" s="43">
        <f>IF(M3717=0,0,(M3717/J3717))</f>
        <v>0</v>
      </c>
    </row>
    <row r="3718" spans="3:14">
      <c r="C3718" s="9"/>
      <c r="D3718" s="7" t="e">
        <f>SUMIF(B$3:B$3844,B3718,M$3:M$3844)/(SUMIF(B$3:B$3844,B3718,J$3:J$3844))</f>
        <v>#DIV/0!</v>
      </c>
      <c r="E3718" s="10"/>
      <c r="F3718" s="18"/>
      <c r="G3718" s="5"/>
      <c r="H3718" s="5"/>
      <c r="I3718" s="11"/>
      <c r="J3718" s="11"/>
      <c r="K3718" s="38"/>
      <c r="L3718" s="39"/>
      <c r="M3718" s="42">
        <f>IF(L3718="",I3718,(MIN(J3718,(L3718*1.6*J3718))))</f>
        <v>0</v>
      </c>
      <c r="N3718" s="43">
        <f>IF(M3718=0,0,(M3718/J3718))</f>
        <v>0</v>
      </c>
    </row>
    <row r="3719" spans="3:14">
      <c r="C3719" s="9"/>
      <c r="D3719" s="7" t="e">
        <f>SUMIF(B$3:B$3844,B3719,M$3:M$3844)/(SUMIF(B$3:B$3844,B3719,J$3:J$3844))</f>
        <v>#DIV/0!</v>
      </c>
      <c r="E3719" s="10"/>
      <c r="F3719" s="18"/>
      <c r="G3719" s="5"/>
      <c r="H3719" s="5"/>
      <c r="I3719" s="11"/>
      <c r="J3719" s="11"/>
      <c r="K3719" s="38"/>
      <c r="L3719" s="39"/>
      <c r="M3719" s="42">
        <f>IF(L3719="",I3719,(MIN(J3719,(L3719*1.6*J3719))))</f>
        <v>0</v>
      </c>
      <c r="N3719" s="43">
        <f>IF(M3719=0,0,(M3719/J3719))</f>
        <v>0</v>
      </c>
    </row>
    <row r="3720" spans="3:14">
      <c r="C3720" s="9"/>
      <c r="D3720" s="7" t="e">
        <f>SUMIF(B$3:B$3844,B3720,M$3:M$3844)/(SUMIF(B$3:B$3844,B3720,J$3:J$3844))</f>
        <v>#DIV/0!</v>
      </c>
      <c r="E3720" s="10"/>
      <c r="F3720" s="18"/>
      <c r="G3720" s="5"/>
      <c r="H3720" s="5"/>
      <c r="I3720" s="11"/>
      <c r="J3720" s="11"/>
      <c r="K3720" s="38"/>
      <c r="L3720" s="39"/>
      <c r="M3720" s="42">
        <f>IF(L3720="",I3720,(MIN(J3720,(L3720*1.6*J3720))))</f>
        <v>0</v>
      </c>
      <c r="N3720" s="43">
        <f>IF(M3720=0,0,(M3720/J3720))</f>
        <v>0</v>
      </c>
    </row>
    <row r="3721" spans="3:14">
      <c r="C3721" s="9"/>
      <c r="D3721" s="7" t="e">
        <f>SUMIF(B$3:B$3844,B3721,M$3:M$3844)/(SUMIF(B$3:B$3844,B3721,J$3:J$3844))</f>
        <v>#DIV/0!</v>
      </c>
      <c r="E3721" s="10"/>
      <c r="F3721" s="18"/>
      <c r="G3721" s="5"/>
      <c r="H3721" s="5"/>
      <c r="I3721" s="11"/>
      <c r="J3721" s="11"/>
      <c r="K3721" s="38"/>
      <c r="L3721" s="39"/>
      <c r="M3721" s="42">
        <f>IF(L3721="",I3721,(MIN(J3721,(L3721*1.6*J3721))))</f>
        <v>0</v>
      </c>
      <c r="N3721" s="43">
        <f>IF(M3721=0,0,(M3721/J3721))</f>
        <v>0</v>
      </c>
    </row>
    <row r="3722" spans="3:14">
      <c r="C3722" s="9"/>
      <c r="D3722" s="7" t="e">
        <f>SUMIF(B$3:B$3844,B3722,M$3:M$3844)/(SUMIF(B$3:B$3844,B3722,J$3:J$3844))</f>
        <v>#DIV/0!</v>
      </c>
      <c r="E3722" s="10"/>
      <c r="F3722" s="18"/>
      <c r="G3722" s="5"/>
      <c r="H3722" s="5"/>
      <c r="I3722" s="11"/>
      <c r="J3722" s="11"/>
      <c r="K3722" s="38"/>
      <c r="L3722" s="39"/>
      <c r="M3722" s="42">
        <f>IF(L3722="",I3722,(MIN(J3722,(L3722*1.6*J3722))))</f>
        <v>0</v>
      </c>
      <c r="N3722" s="43">
        <f>IF(M3722=0,0,(M3722/J3722))</f>
        <v>0</v>
      </c>
    </row>
    <row r="3723" spans="3:14">
      <c r="C3723" s="9"/>
      <c r="D3723" s="7" t="e">
        <f>SUMIF(B$3:B$3844,B3723,M$3:M$3844)/(SUMIF(B$3:B$3844,B3723,J$3:J$3844))</f>
        <v>#DIV/0!</v>
      </c>
      <c r="E3723" s="10"/>
      <c r="F3723" s="18"/>
      <c r="G3723" s="5"/>
      <c r="H3723" s="5"/>
      <c r="I3723" s="11"/>
      <c r="J3723" s="11"/>
      <c r="K3723" s="38"/>
      <c r="L3723" s="39"/>
      <c r="M3723" s="42">
        <f>IF(L3723="",I3723,(MIN(J3723,(L3723*1.6*J3723))))</f>
        <v>0</v>
      </c>
      <c r="N3723" s="43">
        <f>IF(M3723=0,0,(M3723/J3723))</f>
        <v>0</v>
      </c>
    </row>
    <row r="3724" spans="3:14">
      <c r="C3724" s="9"/>
      <c r="D3724" s="7" t="e">
        <f>SUMIF(B$3:B$3844,B3724,M$3:M$3844)/(SUMIF(B$3:B$3844,B3724,J$3:J$3844))</f>
        <v>#DIV/0!</v>
      </c>
      <c r="E3724" s="10"/>
      <c r="F3724" s="18"/>
      <c r="G3724" s="5"/>
      <c r="H3724" s="5"/>
      <c r="I3724" s="11"/>
      <c r="J3724" s="11"/>
      <c r="K3724" s="38"/>
      <c r="L3724" s="39"/>
      <c r="M3724" s="42">
        <f>IF(L3724="",I3724,(MIN(J3724,(L3724*1.6*J3724))))</f>
        <v>0</v>
      </c>
      <c r="N3724" s="43">
        <f>IF(M3724=0,0,(M3724/J3724))</f>
        <v>0</v>
      </c>
    </row>
    <row r="3725" spans="3:14">
      <c r="C3725" s="9"/>
      <c r="D3725" s="7" t="e">
        <f>SUMIF(B$3:B$3844,B3725,M$3:M$3844)/(SUMIF(B$3:B$3844,B3725,J$3:J$3844))</f>
        <v>#DIV/0!</v>
      </c>
      <c r="E3725" s="10"/>
      <c r="F3725" s="18"/>
      <c r="G3725" s="5"/>
      <c r="H3725" s="5"/>
      <c r="I3725" s="11"/>
      <c r="J3725" s="11"/>
      <c r="K3725" s="38"/>
      <c r="L3725" s="39"/>
      <c r="M3725" s="42">
        <f>IF(L3725="",I3725,(MIN(J3725,(L3725*1.6*J3725))))</f>
        <v>0</v>
      </c>
      <c r="N3725" s="43">
        <f>IF(M3725=0,0,(M3725/J3725))</f>
        <v>0</v>
      </c>
    </row>
    <row r="3726" spans="3:14">
      <c r="C3726" s="9"/>
      <c r="D3726" s="7" t="e">
        <f>SUMIF(B$3:B$3844,B3726,M$3:M$3844)/(SUMIF(B$3:B$3844,B3726,J$3:J$3844))</f>
        <v>#DIV/0!</v>
      </c>
      <c r="E3726" s="10"/>
      <c r="F3726" s="18"/>
      <c r="G3726" s="5"/>
      <c r="H3726" s="5"/>
      <c r="I3726" s="11"/>
      <c r="J3726" s="11"/>
      <c r="K3726" s="38"/>
      <c r="L3726" s="39"/>
      <c r="M3726" s="42">
        <f>IF(L3726="",I3726,(MIN(J3726,(L3726*1.6*J3726))))</f>
        <v>0</v>
      </c>
      <c r="N3726" s="43">
        <f>IF(M3726=0,0,(M3726/J3726))</f>
        <v>0</v>
      </c>
    </row>
    <row r="3727" spans="3:14">
      <c r="C3727" s="9"/>
      <c r="D3727" s="7" t="e">
        <f>SUMIF(B$3:B$3844,B3727,M$3:M$3844)/(SUMIF(B$3:B$3844,B3727,J$3:J$3844))</f>
        <v>#DIV/0!</v>
      </c>
      <c r="E3727" s="10"/>
      <c r="F3727" s="18"/>
      <c r="G3727" s="5"/>
      <c r="H3727" s="5"/>
      <c r="I3727" s="11"/>
      <c r="J3727" s="11"/>
      <c r="K3727" s="38"/>
      <c r="L3727" s="39"/>
      <c r="M3727" s="42">
        <f>IF(L3727="",I3727,(MIN(J3727,(L3727*1.6*J3727))))</f>
        <v>0</v>
      </c>
      <c r="N3727" s="43">
        <f>IF(M3727=0,0,(M3727/J3727))</f>
        <v>0</v>
      </c>
    </row>
    <row r="3728" spans="3:14">
      <c r="C3728" s="9"/>
      <c r="D3728" s="7" t="e">
        <f>SUMIF(B$3:B$3844,B3728,M$3:M$3844)/(SUMIF(B$3:B$3844,B3728,J$3:J$3844))</f>
        <v>#DIV/0!</v>
      </c>
      <c r="E3728" s="10"/>
      <c r="F3728" s="18"/>
      <c r="G3728" s="5"/>
      <c r="H3728" s="5"/>
      <c r="I3728" s="11"/>
      <c r="J3728" s="11"/>
      <c r="K3728" s="38"/>
      <c r="L3728" s="39"/>
      <c r="M3728" s="42">
        <f>IF(L3728="",I3728,(MIN(J3728,(L3728*1.6*J3728))))</f>
        <v>0</v>
      </c>
      <c r="N3728" s="43">
        <f>IF(M3728=0,0,(M3728/J3728))</f>
        <v>0</v>
      </c>
    </row>
    <row r="3729" spans="3:14">
      <c r="C3729" s="9"/>
      <c r="D3729" s="7" t="e">
        <f>SUMIF(B$3:B$3844,B3729,M$3:M$3844)/(SUMIF(B$3:B$3844,B3729,J$3:J$3844))</f>
        <v>#DIV/0!</v>
      </c>
      <c r="E3729" s="10"/>
      <c r="F3729" s="18"/>
      <c r="G3729" s="5"/>
      <c r="H3729" s="5"/>
      <c r="I3729" s="11"/>
      <c r="J3729" s="11"/>
      <c r="K3729" s="38"/>
      <c r="L3729" s="39"/>
      <c r="M3729" s="42">
        <f>IF(L3729="",I3729,(MIN(J3729,(L3729*1.6*J3729))))</f>
        <v>0</v>
      </c>
      <c r="N3729" s="43">
        <f>IF(M3729=0,0,(M3729/J3729))</f>
        <v>0</v>
      </c>
    </row>
    <row r="3730" spans="3:14">
      <c r="C3730" s="9"/>
      <c r="D3730" s="7" t="e">
        <f>SUMIF(B$3:B$3844,B3730,M$3:M$3844)/(SUMIF(B$3:B$3844,B3730,J$3:J$3844))</f>
        <v>#DIV/0!</v>
      </c>
      <c r="E3730" s="10"/>
      <c r="F3730" s="18"/>
      <c r="G3730" s="5"/>
      <c r="H3730" s="5"/>
      <c r="I3730" s="11"/>
      <c r="J3730" s="11"/>
      <c r="K3730" s="38"/>
      <c r="L3730" s="39"/>
      <c r="M3730" s="42">
        <f>IF(L3730="",I3730,(MIN(J3730,(L3730*1.6*J3730))))</f>
        <v>0</v>
      </c>
      <c r="N3730" s="43">
        <f>IF(M3730=0,0,(M3730/J3730))</f>
        <v>0</v>
      </c>
    </row>
    <row r="3731" spans="3:14">
      <c r="C3731" s="9"/>
      <c r="D3731" s="7" t="e">
        <f>SUMIF(B$3:B$3844,B3731,M$3:M$3844)/(SUMIF(B$3:B$3844,B3731,J$3:J$3844))</f>
        <v>#DIV/0!</v>
      </c>
      <c r="E3731" s="10"/>
      <c r="F3731" s="18"/>
      <c r="G3731" s="5"/>
      <c r="H3731" s="5"/>
      <c r="I3731" s="11"/>
      <c r="J3731" s="11"/>
      <c r="K3731" s="38"/>
      <c r="L3731" s="39"/>
      <c r="M3731" s="42">
        <f>IF(L3731="",I3731,(MIN(J3731,(L3731*1.6*J3731))))</f>
        <v>0</v>
      </c>
      <c r="N3731" s="43">
        <f>IF(M3731=0,0,(M3731/J3731))</f>
        <v>0</v>
      </c>
    </row>
    <row r="3732" spans="3:14">
      <c r="C3732" s="9"/>
      <c r="D3732" s="7" t="e">
        <f>SUMIF(B$3:B$3844,B3732,M$3:M$3844)/(SUMIF(B$3:B$3844,B3732,J$3:J$3844))</f>
        <v>#DIV/0!</v>
      </c>
      <c r="E3732" s="10"/>
      <c r="F3732" s="18"/>
      <c r="G3732" s="5"/>
      <c r="H3732" s="5"/>
      <c r="I3732" s="11"/>
      <c r="J3732" s="11"/>
      <c r="K3732" s="38"/>
      <c r="L3732" s="39"/>
      <c r="M3732" s="42">
        <f>IF(L3732="",I3732,(MIN(J3732,(L3732*1.6*J3732))))</f>
        <v>0</v>
      </c>
      <c r="N3732" s="43">
        <f>IF(M3732=0,0,(M3732/J3732))</f>
        <v>0</v>
      </c>
    </row>
    <row r="3733" spans="3:14">
      <c r="C3733" s="9"/>
      <c r="D3733" s="7" t="e">
        <f>SUMIF(B$3:B$3844,B3733,M$3:M$3844)/(SUMIF(B$3:B$3844,B3733,J$3:J$3844))</f>
        <v>#DIV/0!</v>
      </c>
      <c r="E3733" s="10"/>
      <c r="F3733" s="18"/>
      <c r="G3733" s="5"/>
      <c r="H3733" s="5"/>
      <c r="I3733" s="11"/>
      <c r="J3733" s="11"/>
      <c r="K3733" s="38"/>
      <c r="L3733" s="39"/>
      <c r="M3733" s="42">
        <f>IF(L3733="",I3733,(MIN(J3733,(L3733*1.6*J3733))))</f>
        <v>0</v>
      </c>
      <c r="N3733" s="43">
        <f>IF(M3733=0,0,(M3733/J3733))</f>
        <v>0</v>
      </c>
    </row>
    <row r="3734" spans="3:14">
      <c r="C3734" s="9"/>
      <c r="D3734" s="7" t="e">
        <f>SUMIF(B$3:B$3844,B3734,M$3:M$3844)/(SUMIF(B$3:B$3844,B3734,J$3:J$3844))</f>
        <v>#DIV/0!</v>
      </c>
      <c r="E3734" s="10"/>
      <c r="F3734" s="18"/>
      <c r="G3734" s="5"/>
      <c r="H3734" s="5"/>
      <c r="I3734" s="11"/>
      <c r="J3734" s="11"/>
      <c r="K3734" s="38"/>
      <c r="L3734" s="39"/>
      <c r="M3734" s="42">
        <f>IF(L3734="",I3734,(MIN(J3734,(L3734*1.6*J3734))))</f>
        <v>0</v>
      </c>
      <c r="N3734" s="43">
        <f>IF(M3734=0,0,(M3734/J3734))</f>
        <v>0</v>
      </c>
    </row>
    <row r="3735" spans="3:14">
      <c r="C3735" s="9"/>
      <c r="D3735" s="7" t="e">
        <f>SUMIF(B$3:B$3844,B3735,M$3:M$3844)/(SUMIF(B$3:B$3844,B3735,J$3:J$3844))</f>
        <v>#DIV/0!</v>
      </c>
      <c r="E3735" s="10"/>
      <c r="F3735" s="18"/>
      <c r="G3735" s="5"/>
      <c r="H3735" s="5"/>
      <c r="I3735" s="11"/>
      <c r="J3735" s="11"/>
      <c r="K3735" s="38"/>
      <c r="L3735" s="39"/>
      <c r="M3735" s="42">
        <f>IF(L3735="",I3735,(MIN(J3735,(L3735*1.6*J3735))))</f>
        <v>0</v>
      </c>
      <c r="N3735" s="43">
        <f>IF(M3735=0,0,(M3735/J3735))</f>
        <v>0</v>
      </c>
    </row>
    <row r="3736" spans="3:14">
      <c r="C3736" s="9"/>
      <c r="D3736" s="7" t="e">
        <f>SUMIF(B$3:B$3844,B3736,M$3:M$3844)/(SUMIF(B$3:B$3844,B3736,J$3:J$3844))</f>
        <v>#DIV/0!</v>
      </c>
      <c r="E3736" s="10"/>
      <c r="F3736" s="18"/>
      <c r="G3736" s="5"/>
      <c r="H3736" s="5"/>
      <c r="I3736" s="11"/>
      <c r="J3736" s="11"/>
      <c r="K3736" s="38"/>
      <c r="L3736" s="39"/>
      <c r="M3736" s="42">
        <f>IF(L3736="",I3736,(MIN(J3736,(L3736*1.6*J3736))))</f>
        <v>0</v>
      </c>
      <c r="N3736" s="43">
        <f>IF(M3736=0,0,(M3736/J3736))</f>
        <v>0</v>
      </c>
    </row>
    <row r="3737" spans="3:14">
      <c r="C3737" s="9"/>
      <c r="D3737" s="7" t="e">
        <f>SUMIF(B$3:B$3844,B3737,M$3:M$3844)/(SUMIF(B$3:B$3844,B3737,J$3:J$3844))</f>
        <v>#DIV/0!</v>
      </c>
      <c r="E3737" s="10"/>
      <c r="F3737" s="18"/>
      <c r="G3737" s="5"/>
      <c r="H3737" s="5"/>
      <c r="I3737" s="11"/>
      <c r="J3737" s="11"/>
      <c r="K3737" s="38"/>
      <c r="L3737" s="39"/>
      <c r="M3737" s="42">
        <f>IF(L3737="",I3737,(MIN(J3737,(L3737*1.6*J3737))))</f>
        <v>0</v>
      </c>
      <c r="N3737" s="43">
        <f>IF(M3737=0,0,(M3737/J3737))</f>
        <v>0</v>
      </c>
    </row>
    <row r="3738" spans="3:14">
      <c r="C3738" s="9"/>
      <c r="D3738" s="7" t="e">
        <f>SUMIF(B$3:B$3844,B3738,M$3:M$3844)/(SUMIF(B$3:B$3844,B3738,J$3:J$3844))</f>
        <v>#DIV/0!</v>
      </c>
      <c r="E3738" s="10"/>
      <c r="F3738" s="18"/>
      <c r="G3738" s="5"/>
      <c r="H3738" s="5"/>
      <c r="I3738" s="11"/>
      <c r="J3738" s="11"/>
      <c r="K3738" s="38"/>
      <c r="L3738" s="39"/>
      <c r="M3738" s="42">
        <f>IF(L3738="",I3738,(MIN(J3738,(L3738*1.6*J3738))))</f>
        <v>0</v>
      </c>
      <c r="N3738" s="43">
        <f>IF(M3738=0,0,(M3738/J3738))</f>
        <v>0</v>
      </c>
    </row>
    <row r="3739" spans="3:14">
      <c r="C3739" s="9"/>
      <c r="D3739" s="7" t="e">
        <f>SUMIF(B$3:B$3844,B3739,M$3:M$3844)/(SUMIF(B$3:B$3844,B3739,J$3:J$3844))</f>
        <v>#DIV/0!</v>
      </c>
      <c r="E3739" s="10"/>
      <c r="F3739" s="18"/>
      <c r="G3739" s="5"/>
      <c r="H3739" s="5"/>
      <c r="I3739" s="11"/>
      <c r="J3739" s="11"/>
      <c r="K3739" s="38"/>
      <c r="L3739" s="39"/>
      <c r="M3739" s="42">
        <f>IF(L3739="",I3739,(MIN(J3739,(L3739*1.6*J3739))))</f>
        <v>0</v>
      </c>
      <c r="N3739" s="43">
        <f>IF(M3739=0,0,(M3739/J3739))</f>
        <v>0</v>
      </c>
    </row>
    <row r="3740" spans="3:14">
      <c r="C3740" s="9"/>
      <c r="D3740" s="7" t="e">
        <f>SUMIF(B$3:B$3844,B3740,M$3:M$3844)/(SUMIF(B$3:B$3844,B3740,J$3:J$3844))</f>
        <v>#DIV/0!</v>
      </c>
      <c r="E3740" s="10"/>
      <c r="F3740" s="18"/>
      <c r="G3740" s="5"/>
      <c r="H3740" s="5"/>
      <c r="I3740" s="11"/>
      <c r="J3740" s="11"/>
      <c r="K3740" s="38"/>
      <c r="L3740" s="39"/>
      <c r="M3740" s="42">
        <f>IF(L3740="",I3740,(MIN(J3740,(L3740*1.6*J3740))))</f>
        <v>0</v>
      </c>
      <c r="N3740" s="43">
        <f>IF(M3740=0,0,(M3740/J3740))</f>
        <v>0</v>
      </c>
    </row>
    <row r="3741" spans="3:14">
      <c r="C3741" s="9"/>
      <c r="D3741" s="7" t="e">
        <f>SUMIF(B$3:B$3844,B3741,M$3:M$3844)/(SUMIF(B$3:B$3844,B3741,J$3:J$3844))</f>
        <v>#DIV/0!</v>
      </c>
      <c r="E3741" s="10"/>
      <c r="F3741" s="18"/>
      <c r="G3741" s="5"/>
      <c r="H3741" s="5"/>
      <c r="I3741" s="11"/>
      <c r="J3741" s="11"/>
      <c r="K3741" s="38"/>
      <c r="L3741" s="39"/>
      <c r="M3741" s="42">
        <f>IF(L3741="",I3741,(MIN(J3741,(L3741*1.6*J3741))))</f>
        <v>0</v>
      </c>
      <c r="N3741" s="43">
        <f>IF(M3741=0,0,(M3741/J3741))</f>
        <v>0</v>
      </c>
    </row>
    <row r="3742" spans="3:14">
      <c r="C3742" s="9"/>
      <c r="D3742" s="7" t="e">
        <f>SUMIF(B$3:B$3844,B3742,M$3:M$3844)/(SUMIF(B$3:B$3844,B3742,J$3:J$3844))</f>
        <v>#DIV/0!</v>
      </c>
      <c r="E3742" s="10"/>
      <c r="F3742" s="18"/>
      <c r="G3742" s="5"/>
      <c r="H3742" s="5"/>
      <c r="I3742" s="11"/>
      <c r="J3742" s="11"/>
      <c r="K3742" s="38"/>
      <c r="L3742" s="39"/>
      <c r="M3742" s="42">
        <f>IF(L3742="",I3742,(MIN(J3742,(L3742*1.6*J3742))))</f>
        <v>0</v>
      </c>
      <c r="N3742" s="43">
        <f>IF(M3742=0,0,(M3742/J3742))</f>
        <v>0</v>
      </c>
    </row>
    <row r="3743" spans="3:14">
      <c r="C3743" s="9"/>
      <c r="D3743" s="7" t="e">
        <f>SUMIF(B$3:B$3844,B3743,M$3:M$3844)/(SUMIF(B$3:B$3844,B3743,J$3:J$3844))</f>
        <v>#DIV/0!</v>
      </c>
      <c r="E3743" s="10"/>
      <c r="F3743" s="18"/>
      <c r="G3743" s="5"/>
      <c r="H3743" s="5"/>
      <c r="I3743" s="11"/>
      <c r="J3743" s="11"/>
      <c r="K3743" s="38"/>
      <c r="L3743" s="39"/>
      <c r="M3743" s="42">
        <f>IF(L3743="",I3743,(MIN(J3743,(L3743*1.6*J3743))))</f>
        <v>0</v>
      </c>
      <c r="N3743" s="43">
        <f>IF(M3743=0,0,(M3743/J3743))</f>
        <v>0</v>
      </c>
    </row>
    <row r="3744" spans="3:14">
      <c r="C3744" s="9"/>
      <c r="D3744" s="7" t="e">
        <f>SUMIF(B$3:B$3844,B3744,M$3:M$3844)/(SUMIF(B$3:B$3844,B3744,J$3:J$3844))</f>
        <v>#DIV/0!</v>
      </c>
      <c r="E3744" s="10"/>
      <c r="F3744" s="18"/>
      <c r="G3744" s="5"/>
      <c r="H3744" s="5"/>
      <c r="I3744" s="11"/>
      <c r="J3744" s="11"/>
      <c r="K3744" s="38"/>
      <c r="L3744" s="39"/>
      <c r="M3744" s="42">
        <f>IF(L3744="",I3744,(MIN(J3744,(L3744*1.6*J3744))))</f>
        <v>0</v>
      </c>
      <c r="N3744" s="43">
        <f>IF(M3744=0,0,(M3744/J3744))</f>
        <v>0</v>
      </c>
    </row>
    <row r="3745" spans="3:14">
      <c r="C3745" s="9"/>
      <c r="D3745" s="7" t="e">
        <f>SUMIF(B$3:B$3844,B3745,M$3:M$3844)/(SUMIF(B$3:B$3844,B3745,J$3:J$3844))</f>
        <v>#DIV/0!</v>
      </c>
      <c r="E3745" s="10"/>
      <c r="F3745" s="18"/>
      <c r="G3745" s="5"/>
      <c r="H3745" s="5"/>
      <c r="I3745" s="11"/>
      <c r="J3745" s="11"/>
      <c r="K3745" s="38"/>
      <c r="L3745" s="39"/>
      <c r="M3745" s="42">
        <f>IF(L3745="",I3745,(MIN(J3745,(L3745*1.6*J3745))))</f>
        <v>0</v>
      </c>
      <c r="N3745" s="43">
        <f>IF(M3745=0,0,(M3745/J3745))</f>
        <v>0</v>
      </c>
    </row>
    <row r="3746" spans="3:14">
      <c r="C3746" s="9"/>
      <c r="D3746" s="7" t="e">
        <f>SUMIF(B$3:B$3844,B3746,M$3:M$3844)/(SUMIF(B$3:B$3844,B3746,J$3:J$3844))</f>
        <v>#DIV/0!</v>
      </c>
      <c r="E3746" s="10"/>
      <c r="F3746" s="18"/>
      <c r="G3746" s="5"/>
      <c r="H3746" s="5"/>
      <c r="I3746" s="11"/>
      <c r="J3746" s="11"/>
      <c r="K3746" s="38"/>
      <c r="L3746" s="39"/>
      <c r="M3746" s="42">
        <f>IF(L3746="",I3746,(MIN(J3746,(L3746*1.6*J3746))))</f>
        <v>0</v>
      </c>
      <c r="N3746" s="43">
        <f>IF(M3746=0,0,(M3746/J3746))</f>
        <v>0</v>
      </c>
    </row>
    <row r="3747" spans="3:14">
      <c r="C3747" s="9"/>
      <c r="D3747" s="7" t="e">
        <f>SUMIF(B$3:B$3844,B3747,M$3:M$3844)/(SUMIF(B$3:B$3844,B3747,J$3:J$3844))</f>
        <v>#DIV/0!</v>
      </c>
      <c r="E3747" s="10"/>
      <c r="F3747" s="18"/>
      <c r="G3747" s="5"/>
      <c r="H3747" s="5"/>
      <c r="I3747" s="11"/>
      <c r="J3747" s="11"/>
      <c r="K3747" s="38"/>
      <c r="L3747" s="39"/>
      <c r="M3747" s="42">
        <f>IF(L3747="",I3747,(MIN(J3747,(L3747*1.6*J3747))))</f>
        <v>0</v>
      </c>
      <c r="N3747" s="43">
        <f>IF(M3747=0,0,(M3747/J3747))</f>
        <v>0</v>
      </c>
    </row>
    <row r="3748" spans="3:14">
      <c r="C3748" s="9"/>
      <c r="D3748" s="7" t="e">
        <f>SUMIF(B$3:B$3844,B3748,M$3:M$3844)/(SUMIF(B$3:B$3844,B3748,J$3:J$3844))</f>
        <v>#DIV/0!</v>
      </c>
      <c r="E3748" s="10"/>
      <c r="F3748" s="18"/>
      <c r="G3748" s="5"/>
      <c r="H3748" s="5"/>
      <c r="I3748" s="11"/>
      <c r="J3748" s="11"/>
      <c r="K3748" s="38"/>
      <c r="L3748" s="39"/>
      <c r="M3748" s="42">
        <f>IF(L3748="",I3748,(MIN(J3748,(L3748*1.6*J3748))))</f>
        <v>0</v>
      </c>
      <c r="N3748" s="43">
        <f>IF(M3748=0,0,(M3748/J3748))</f>
        <v>0</v>
      </c>
    </row>
    <row r="3749" spans="3:14">
      <c r="C3749" s="9"/>
      <c r="D3749" s="7" t="e">
        <f>SUMIF(B$3:B$3844,B3749,M$3:M$3844)/(SUMIF(B$3:B$3844,B3749,J$3:J$3844))</f>
        <v>#DIV/0!</v>
      </c>
      <c r="E3749" s="10"/>
      <c r="F3749" s="18"/>
      <c r="G3749" s="5"/>
      <c r="H3749" s="5"/>
      <c r="I3749" s="11"/>
      <c r="J3749" s="11"/>
      <c r="K3749" s="38"/>
      <c r="L3749" s="39"/>
      <c r="M3749" s="42">
        <f>IF(L3749="",I3749,(MIN(J3749,(L3749*1.6*J3749))))</f>
        <v>0</v>
      </c>
      <c r="N3749" s="43">
        <f>IF(M3749=0,0,(M3749/J3749))</f>
        <v>0</v>
      </c>
    </row>
    <row r="3750" spans="3:14">
      <c r="C3750" s="9"/>
      <c r="D3750" s="7" t="e">
        <f>SUMIF(B$3:B$3844,B3750,M$3:M$3844)/(SUMIF(B$3:B$3844,B3750,J$3:J$3844))</f>
        <v>#DIV/0!</v>
      </c>
      <c r="E3750" s="10"/>
      <c r="F3750" s="18"/>
      <c r="G3750" s="5"/>
      <c r="H3750" s="5"/>
      <c r="I3750" s="11"/>
      <c r="J3750" s="11"/>
      <c r="K3750" s="38"/>
      <c r="L3750" s="39"/>
      <c r="M3750" s="42">
        <f>IF(L3750="",I3750,(MIN(J3750,(L3750*1.6*J3750))))</f>
        <v>0</v>
      </c>
      <c r="N3750" s="43">
        <f>IF(M3750=0,0,(M3750/J3750))</f>
        <v>0</v>
      </c>
    </row>
    <row r="3751" spans="3:14">
      <c r="C3751" s="9"/>
      <c r="D3751" s="7" t="e">
        <f>SUMIF(B$3:B$3844,B3751,M$3:M$3844)/(SUMIF(B$3:B$3844,B3751,J$3:J$3844))</f>
        <v>#DIV/0!</v>
      </c>
      <c r="E3751" s="10"/>
      <c r="F3751" s="18"/>
      <c r="G3751" s="5"/>
      <c r="H3751" s="5"/>
      <c r="I3751" s="11"/>
      <c r="J3751" s="11"/>
      <c r="K3751" s="38"/>
      <c r="L3751" s="39"/>
      <c r="M3751" s="42">
        <f>IF(L3751="",I3751,(MIN(J3751,(L3751*1.6*J3751))))</f>
        <v>0</v>
      </c>
      <c r="N3751" s="43">
        <f>IF(M3751=0,0,(M3751/J3751))</f>
        <v>0</v>
      </c>
    </row>
    <row r="3752" spans="3:14">
      <c r="C3752" s="9"/>
      <c r="D3752" s="7" t="e">
        <f>SUMIF(B$3:B$3844,B3752,M$3:M$3844)/(SUMIF(B$3:B$3844,B3752,J$3:J$3844))</f>
        <v>#DIV/0!</v>
      </c>
      <c r="E3752" s="10"/>
      <c r="F3752" s="18"/>
      <c r="G3752" s="5"/>
      <c r="H3752" s="5"/>
      <c r="I3752" s="11"/>
      <c r="J3752" s="11"/>
      <c r="K3752" s="38"/>
      <c r="L3752" s="39"/>
      <c r="M3752" s="42">
        <f>IF(L3752="",I3752,(MIN(J3752,(L3752*1.6*J3752))))</f>
        <v>0</v>
      </c>
      <c r="N3752" s="43">
        <f>IF(M3752=0,0,(M3752/J3752))</f>
        <v>0</v>
      </c>
    </row>
    <row r="3753" spans="3:14">
      <c r="C3753" s="9"/>
      <c r="D3753" s="7" t="e">
        <f>SUMIF(B$3:B$3844,B3753,M$3:M$3844)/(SUMIF(B$3:B$3844,B3753,J$3:J$3844))</f>
        <v>#DIV/0!</v>
      </c>
      <c r="E3753" s="10"/>
      <c r="F3753" s="18"/>
      <c r="G3753" s="5"/>
      <c r="H3753" s="5"/>
      <c r="I3753" s="11"/>
      <c r="J3753" s="11"/>
      <c r="K3753" s="38"/>
      <c r="L3753" s="39"/>
      <c r="M3753" s="42">
        <f>IF(L3753="",I3753,(MIN(J3753,(L3753*1.6*J3753))))</f>
        <v>0</v>
      </c>
      <c r="N3753" s="43">
        <f>IF(M3753=0,0,(M3753/J3753))</f>
        <v>0</v>
      </c>
    </row>
    <row r="3754" spans="3:14">
      <c r="C3754" s="9"/>
      <c r="D3754" s="7" t="e">
        <f>SUMIF(B$3:B$3844,B3754,M$3:M$3844)/(SUMIF(B$3:B$3844,B3754,J$3:J$3844))</f>
        <v>#DIV/0!</v>
      </c>
      <c r="E3754" s="10"/>
      <c r="F3754" s="18"/>
      <c r="G3754" s="5"/>
      <c r="H3754" s="5"/>
      <c r="I3754" s="11"/>
      <c r="J3754" s="11"/>
      <c r="K3754" s="38"/>
      <c r="L3754" s="39"/>
      <c r="M3754" s="42">
        <f>IF(L3754="",I3754,(MIN(J3754,(L3754*1.6*J3754))))</f>
        <v>0</v>
      </c>
      <c r="N3754" s="43">
        <f>IF(M3754=0,0,(M3754/J3754))</f>
        <v>0</v>
      </c>
    </row>
    <row r="3755" spans="3:14">
      <c r="C3755" s="9"/>
      <c r="D3755" s="7" t="e">
        <f>SUMIF(B$3:B$3844,B3755,M$3:M$3844)/(SUMIF(B$3:B$3844,B3755,J$3:J$3844))</f>
        <v>#DIV/0!</v>
      </c>
      <c r="E3755" s="10"/>
      <c r="F3755" s="18"/>
      <c r="G3755" s="5"/>
      <c r="H3755" s="5"/>
      <c r="I3755" s="11"/>
      <c r="J3755" s="11"/>
      <c r="K3755" s="38"/>
      <c r="L3755" s="39"/>
      <c r="M3755" s="42">
        <f>IF(L3755="",I3755,(MIN(J3755,(L3755*1.6*J3755))))</f>
        <v>0</v>
      </c>
      <c r="N3755" s="43">
        <f>IF(M3755=0,0,(M3755/J3755))</f>
        <v>0</v>
      </c>
    </row>
    <row r="3756" spans="3:14">
      <c r="C3756" s="9"/>
      <c r="D3756" s="7" t="e">
        <f>SUMIF(B$3:B$3844,B3756,M$3:M$3844)/(SUMIF(B$3:B$3844,B3756,J$3:J$3844))</f>
        <v>#DIV/0!</v>
      </c>
      <c r="E3756" s="10"/>
      <c r="F3756" s="18"/>
      <c r="G3756" s="5"/>
      <c r="H3756" s="5"/>
      <c r="I3756" s="11"/>
      <c r="J3756" s="11"/>
      <c r="K3756" s="38"/>
      <c r="L3756" s="39"/>
      <c r="M3756" s="42">
        <f>IF(L3756="",I3756,(MIN(J3756,(L3756*1.6*J3756))))</f>
        <v>0</v>
      </c>
      <c r="N3756" s="43">
        <f>IF(M3756=0,0,(M3756/J3756))</f>
        <v>0</v>
      </c>
    </row>
    <row r="3757" spans="3:14">
      <c r="C3757" s="9"/>
      <c r="D3757" s="7" t="e">
        <f>SUMIF(B$3:B$3844,B3757,M$3:M$3844)/(SUMIF(B$3:B$3844,B3757,J$3:J$3844))</f>
        <v>#DIV/0!</v>
      </c>
      <c r="E3757" s="10"/>
      <c r="F3757" s="18"/>
      <c r="G3757" s="5"/>
      <c r="H3757" s="5"/>
      <c r="I3757" s="11"/>
      <c r="J3757" s="11"/>
      <c r="K3757" s="38"/>
      <c r="L3757" s="39"/>
      <c r="M3757" s="42">
        <f>IF(L3757="",I3757,(MIN(J3757,(L3757*1.6*J3757))))</f>
        <v>0</v>
      </c>
      <c r="N3757" s="43">
        <f>IF(M3757=0,0,(M3757/J3757))</f>
        <v>0</v>
      </c>
    </row>
    <row r="3758" spans="3:14">
      <c r="C3758" s="9"/>
      <c r="D3758" s="7" t="e">
        <f>SUMIF(B$3:B$3844,B3758,M$3:M$3844)/(SUMIF(B$3:B$3844,B3758,J$3:J$3844))</f>
        <v>#DIV/0!</v>
      </c>
      <c r="E3758" s="10"/>
      <c r="F3758" s="18"/>
      <c r="G3758" s="5"/>
      <c r="H3758" s="5"/>
      <c r="I3758" s="11"/>
      <c r="J3758" s="11"/>
      <c r="K3758" s="38"/>
      <c r="L3758" s="39"/>
      <c r="M3758" s="42">
        <f>IF(L3758="",I3758,(MIN(J3758,(L3758*1.6*J3758))))</f>
        <v>0</v>
      </c>
      <c r="N3758" s="43">
        <f>IF(M3758=0,0,(M3758/J3758))</f>
        <v>0</v>
      </c>
    </row>
    <row r="3759" spans="3:14">
      <c r="C3759" s="9"/>
      <c r="D3759" s="7" t="e">
        <f>SUMIF(B$3:B$3844,B3759,M$3:M$3844)/(SUMIF(B$3:B$3844,B3759,J$3:J$3844))</f>
        <v>#DIV/0!</v>
      </c>
      <c r="E3759" s="10"/>
      <c r="F3759" s="18"/>
      <c r="G3759" s="5"/>
      <c r="H3759" s="5"/>
      <c r="I3759" s="11"/>
      <c r="J3759" s="11"/>
      <c r="K3759" s="38"/>
      <c r="L3759" s="39"/>
      <c r="M3759" s="42">
        <f>IF(L3759="",I3759,(MIN(J3759,(L3759*1.6*J3759))))</f>
        <v>0</v>
      </c>
      <c r="N3759" s="43">
        <f>IF(M3759=0,0,(M3759/J3759))</f>
        <v>0</v>
      </c>
    </row>
    <row r="3760" spans="3:14">
      <c r="C3760" s="9"/>
      <c r="D3760" s="7" t="e">
        <f>SUMIF(B$3:B$3844,B3760,M$3:M$3844)/(SUMIF(B$3:B$3844,B3760,J$3:J$3844))</f>
        <v>#DIV/0!</v>
      </c>
      <c r="E3760" s="10"/>
      <c r="F3760" s="18"/>
      <c r="G3760" s="5"/>
      <c r="H3760" s="5"/>
      <c r="I3760" s="11"/>
      <c r="J3760" s="11"/>
      <c r="K3760" s="38"/>
      <c r="L3760" s="39"/>
      <c r="M3760" s="42">
        <f>IF(L3760="",I3760,(MIN(J3760,(L3760*1.6*J3760))))</f>
        <v>0</v>
      </c>
      <c r="N3760" s="43">
        <f>IF(M3760=0,0,(M3760/J3760))</f>
        <v>0</v>
      </c>
    </row>
    <row r="3761" spans="3:14">
      <c r="C3761" s="9"/>
      <c r="D3761" s="7" t="e">
        <f>SUMIF(B$3:B$3844,B3761,M$3:M$3844)/(SUMIF(B$3:B$3844,B3761,J$3:J$3844))</f>
        <v>#DIV/0!</v>
      </c>
      <c r="E3761" s="10"/>
      <c r="F3761" s="18"/>
      <c r="G3761" s="5"/>
      <c r="H3761" s="5"/>
      <c r="I3761" s="11"/>
      <c r="J3761" s="11"/>
      <c r="K3761" s="38"/>
      <c r="L3761" s="39"/>
      <c r="M3761" s="42">
        <f>IF(L3761="",I3761,(MIN(J3761,(L3761*1.6*J3761))))</f>
        <v>0</v>
      </c>
      <c r="N3761" s="43">
        <f>IF(M3761=0,0,(M3761/J3761))</f>
        <v>0</v>
      </c>
    </row>
    <row r="3762" spans="3:14">
      <c r="C3762" s="9"/>
      <c r="D3762" s="7" t="e">
        <f>SUMIF(B$3:B$3844,B3762,M$3:M$3844)/(SUMIF(B$3:B$3844,B3762,J$3:J$3844))</f>
        <v>#DIV/0!</v>
      </c>
      <c r="E3762" s="10"/>
      <c r="F3762" s="18"/>
      <c r="G3762" s="5"/>
      <c r="H3762" s="5"/>
      <c r="I3762" s="11"/>
      <c r="J3762" s="11"/>
      <c r="K3762" s="38"/>
      <c r="L3762" s="39"/>
      <c r="M3762" s="42">
        <f>IF(L3762="",I3762,(MIN(J3762,(L3762*1.6*J3762))))</f>
        <v>0</v>
      </c>
      <c r="N3762" s="43">
        <f>IF(M3762=0,0,(M3762/J3762))</f>
        <v>0</v>
      </c>
    </row>
    <row r="3763" spans="3:14">
      <c r="C3763" s="9"/>
      <c r="D3763" s="7" t="e">
        <f>SUMIF(B$3:B$3844,B3763,M$3:M$3844)/(SUMIF(B$3:B$3844,B3763,J$3:J$3844))</f>
        <v>#DIV/0!</v>
      </c>
      <c r="E3763" s="10"/>
      <c r="F3763" s="18"/>
      <c r="G3763" s="5"/>
      <c r="H3763" s="5"/>
      <c r="I3763" s="11"/>
      <c r="J3763" s="11"/>
      <c r="K3763" s="38"/>
      <c r="L3763" s="39"/>
      <c r="M3763" s="42">
        <f>IF(L3763="",I3763,(MIN(J3763,(L3763*1.6*J3763))))</f>
        <v>0</v>
      </c>
      <c r="N3763" s="43">
        <f>IF(M3763=0,0,(M3763/J3763))</f>
        <v>0</v>
      </c>
    </row>
    <row r="3764" spans="3:14">
      <c r="C3764" s="9"/>
      <c r="D3764" s="7" t="e">
        <f>SUMIF(B$3:B$3844,B3764,M$3:M$3844)/(SUMIF(B$3:B$3844,B3764,J$3:J$3844))</f>
        <v>#DIV/0!</v>
      </c>
      <c r="E3764" s="10"/>
      <c r="F3764" s="18"/>
      <c r="G3764" s="5"/>
      <c r="H3764" s="5"/>
      <c r="I3764" s="11"/>
      <c r="J3764" s="11"/>
      <c r="K3764" s="38"/>
      <c r="L3764" s="39"/>
      <c r="M3764" s="42">
        <f>IF(L3764="",I3764,(MIN(J3764,(L3764*1.6*J3764))))</f>
        <v>0</v>
      </c>
      <c r="N3764" s="43">
        <f>IF(M3764=0,0,(M3764/J3764))</f>
        <v>0</v>
      </c>
    </row>
    <row r="3765" spans="3:14">
      <c r="C3765" s="9"/>
      <c r="D3765" s="7" t="e">
        <f>SUMIF(B$3:B$3844,B3765,M$3:M$3844)/(SUMIF(B$3:B$3844,B3765,J$3:J$3844))</f>
        <v>#DIV/0!</v>
      </c>
      <c r="E3765" s="10"/>
      <c r="F3765" s="18"/>
      <c r="G3765" s="5"/>
      <c r="H3765" s="5"/>
      <c r="I3765" s="11"/>
      <c r="J3765" s="11"/>
      <c r="K3765" s="38"/>
      <c r="L3765" s="39"/>
      <c r="M3765" s="42">
        <f>IF(L3765="",I3765,(MIN(J3765,(L3765*1.6*J3765))))</f>
        <v>0</v>
      </c>
      <c r="N3765" s="43">
        <f>IF(M3765=0,0,(M3765/J3765))</f>
        <v>0</v>
      </c>
    </row>
    <row r="3766" spans="3:14">
      <c r="C3766" s="9"/>
      <c r="D3766" s="7" t="e">
        <f>SUMIF(B$3:B$3844,B3766,M$3:M$3844)/(SUMIF(B$3:B$3844,B3766,J$3:J$3844))</f>
        <v>#DIV/0!</v>
      </c>
      <c r="E3766" s="10"/>
      <c r="F3766" s="18"/>
      <c r="G3766" s="5"/>
      <c r="H3766" s="5"/>
      <c r="I3766" s="11"/>
      <c r="J3766" s="11"/>
      <c r="K3766" s="38"/>
      <c r="L3766" s="39"/>
      <c r="M3766" s="42">
        <f>IF(L3766="",I3766,(MIN(J3766,(L3766*1.6*J3766))))</f>
        <v>0</v>
      </c>
      <c r="N3766" s="43">
        <f>IF(M3766=0,0,(M3766/J3766))</f>
        <v>0</v>
      </c>
    </row>
    <row r="3767" spans="3:14">
      <c r="C3767" s="9"/>
      <c r="D3767" s="7" t="e">
        <f>SUMIF(B$3:B$3844,B3767,M$3:M$3844)/(SUMIF(B$3:B$3844,B3767,J$3:J$3844))</f>
        <v>#DIV/0!</v>
      </c>
      <c r="E3767" s="10"/>
      <c r="F3767" s="18"/>
      <c r="G3767" s="5"/>
      <c r="H3767" s="5"/>
      <c r="I3767" s="11"/>
      <c r="J3767" s="11"/>
      <c r="K3767" s="38"/>
      <c r="L3767" s="39"/>
      <c r="M3767" s="42">
        <f>IF(L3767="",I3767,(MIN(J3767,(L3767*1.6*J3767))))</f>
        <v>0</v>
      </c>
      <c r="N3767" s="43">
        <f>IF(M3767=0,0,(M3767/J3767))</f>
        <v>0</v>
      </c>
    </row>
    <row r="3768" spans="3:14">
      <c r="C3768" s="9"/>
      <c r="D3768" s="7" t="e">
        <f>SUMIF(B$3:B$3844,B3768,M$3:M$3844)/(SUMIF(B$3:B$3844,B3768,J$3:J$3844))</f>
        <v>#DIV/0!</v>
      </c>
      <c r="E3768" s="10"/>
      <c r="F3768" s="18"/>
      <c r="G3768" s="5"/>
      <c r="H3768" s="5"/>
      <c r="I3768" s="11"/>
      <c r="J3768" s="11"/>
      <c r="K3768" s="38"/>
      <c r="L3768" s="39"/>
      <c r="M3768" s="42">
        <f>IF(L3768="",I3768,(MIN(J3768,(L3768*1.6*J3768))))</f>
        <v>0</v>
      </c>
      <c r="N3768" s="43">
        <f>IF(M3768=0,0,(M3768/J3768))</f>
        <v>0</v>
      </c>
    </row>
    <row r="3769" spans="3:14">
      <c r="C3769" s="9"/>
      <c r="D3769" s="7" t="e">
        <f>SUMIF(B$3:B$3844,B3769,M$3:M$3844)/(SUMIF(B$3:B$3844,B3769,J$3:J$3844))</f>
        <v>#DIV/0!</v>
      </c>
      <c r="E3769" s="10"/>
      <c r="F3769" s="18"/>
      <c r="G3769" s="5"/>
      <c r="H3769" s="5"/>
      <c r="I3769" s="11"/>
      <c r="J3769" s="11"/>
      <c r="K3769" s="38"/>
      <c r="L3769" s="39"/>
      <c r="M3769" s="42">
        <f>IF(L3769="",I3769,(MIN(J3769,(L3769*1.6*J3769))))</f>
        <v>0</v>
      </c>
      <c r="N3769" s="43">
        <f>IF(M3769=0,0,(M3769/J3769))</f>
        <v>0</v>
      </c>
    </row>
    <row r="3770" spans="3:14">
      <c r="C3770" s="9"/>
      <c r="D3770" s="7" t="e">
        <f>SUMIF(B$3:B$3844,B3770,M$3:M$3844)/(SUMIF(B$3:B$3844,B3770,J$3:J$3844))</f>
        <v>#DIV/0!</v>
      </c>
      <c r="E3770" s="10"/>
      <c r="F3770" s="18"/>
      <c r="G3770" s="5"/>
      <c r="H3770" s="5"/>
      <c r="I3770" s="11"/>
      <c r="J3770" s="11"/>
      <c r="K3770" s="38"/>
      <c r="L3770" s="39"/>
      <c r="M3770" s="42">
        <f>IF(L3770="",I3770,(MIN(J3770,(L3770*1.6*J3770))))</f>
        <v>0</v>
      </c>
      <c r="N3770" s="43">
        <f>IF(M3770=0,0,(M3770/J3770))</f>
        <v>0</v>
      </c>
    </row>
    <row r="3771" spans="3:14">
      <c r="C3771" s="9"/>
      <c r="D3771" s="7" t="e">
        <f>SUMIF(B$3:B$3844,B3771,M$3:M$3844)/(SUMIF(B$3:B$3844,B3771,J$3:J$3844))</f>
        <v>#DIV/0!</v>
      </c>
      <c r="E3771" s="10"/>
      <c r="F3771" s="18"/>
      <c r="G3771" s="5"/>
      <c r="H3771" s="5"/>
      <c r="I3771" s="11"/>
      <c r="J3771" s="11"/>
      <c r="K3771" s="38"/>
      <c r="L3771" s="39"/>
      <c r="M3771" s="42">
        <f>IF(L3771="",I3771,(MIN(J3771,(L3771*1.6*J3771))))</f>
        <v>0</v>
      </c>
      <c r="N3771" s="43">
        <f>IF(M3771=0,0,(M3771/J3771))</f>
        <v>0</v>
      </c>
    </row>
    <row r="3772" spans="3:14">
      <c r="C3772" s="9"/>
      <c r="D3772" s="7" t="e">
        <f>SUMIF(B$3:B$3844,B3772,M$3:M$3844)/(SUMIF(B$3:B$3844,B3772,J$3:J$3844))</f>
        <v>#DIV/0!</v>
      </c>
      <c r="E3772" s="10"/>
      <c r="F3772" s="18"/>
      <c r="G3772" s="5"/>
      <c r="H3772" s="5"/>
      <c r="I3772" s="11"/>
      <c r="J3772" s="11"/>
      <c r="K3772" s="38"/>
      <c r="L3772" s="39"/>
      <c r="M3772" s="42">
        <f>IF(L3772="",I3772,(MIN(J3772,(L3772*1.6*J3772))))</f>
        <v>0</v>
      </c>
      <c r="N3772" s="43">
        <f>IF(M3772=0,0,(M3772/J3772))</f>
        <v>0</v>
      </c>
    </row>
    <row r="3773" spans="3:14">
      <c r="C3773" s="9"/>
      <c r="D3773" s="7" t="e">
        <f>SUMIF(B$3:B$3844,B3773,M$3:M$3844)/(SUMIF(B$3:B$3844,B3773,J$3:J$3844))</f>
        <v>#DIV/0!</v>
      </c>
      <c r="E3773" s="10"/>
      <c r="F3773" s="18"/>
      <c r="G3773" s="5"/>
      <c r="H3773" s="5"/>
      <c r="I3773" s="11"/>
      <c r="J3773" s="11"/>
      <c r="K3773" s="38"/>
      <c r="L3773" s="39"/>
      <c r="M3773" s="42">
        <f>IF(L3773="",I3773,(MIN(J3773,(L3773*1.6*J3773))))</f>
        <v>0</v>
      </c>
      <c r="N3773" s="43">
        <f>IF(M3773=0,0,(M3773/J3773))</f>
        <v>0</v>
      </c>
    </row>
    <row r="3774" spans="3:14">
      <c r="C3774" s="9"/>
      <c r="D3774" s="7" t="e">
        <f>SUMIF(B$3:B$3844,B3774,M$3:M$3844)/(SUMIF(B$3:B$3844,B3774,J$3:J$3844))</f>
        <v>#DIV/0!</v>
      </c>
      <c r="E3774" s="10"/>
      <c r="F3774" s="18"/>
      <c r="G3774" s="5"/>
      <c r="H3774" s="5"/>
      <c r="I3774" s="11"/>
      <c r="J3774" s="11"/>
      <c r="K3774" s="38"/>
      <c r="L3774" s="39"/>
      <c r="M3774" s="42">
        <f>IF(L3774="",I3774,(MIN(J3774,(L3774*1.6*J3774))))</f>
        <v>0</v>
      </c>
      <c r="N3774" s="43">
        <f>IF(M3774=0,0,(M3774/J3774))</f>
        <v>0</v>
      </c>
    </row>
    <row r="3775" spans="3:14">
      <c r="C3775" s="9"/>
      <c r="D3775" s="7" t="e">
        <f>SUMIF(B$3:B$3844,B3775,M$3:M$3844)/(SUMIF(B$3:B$3844,B3775,J$3:J$3844))</f>
        <v>#DIV/0!</v>
      </c>
      <c r="E3775" s="10"/>
      <c r="F3775" s="18"/>
      <c r="G3775" s="5"/>
      <c r="H3775" s="5"/>
      <c r="I3775" s="11"/>
      <c r="J3775" s="11"/>
      <c r="K3775" s="38"/>
      <c r="L3775" s="39"/>
      <c r="M3775" s="42">
        <f>IF(L3775="",I3775,(MIN(J3775,(L3775*1.6*J3775))))</f>
        <v>0</v>
      </c>
      <c r="N3775" s="43">
        <f>IF(M3775=0,0,(M3775/J3775))</f>
        <v>0</v>
      </c>
    </row>
    <row r="3776" spans="3:14">
      <c r="C3776" s="9"/>
      <c r="D3776" s="7" t="e">
        <f>SUMIF(B$3:B$3844,B3776,M$3:M$3844)/(SUMIF(B$3:B$3844,B3776,J$3:J$3844))</f>
        <v>#DIV/0!</v>
      </c>
      <c r="E3776" s="10"/>
      <c r="F3776" s="18"/>
      <c r="G3776" s="5"/>
      <c r="H3776" s="5"/>
      <c r="I3776" s="11"/>
      <c r="J3776" s="11"/>
      <c r="K3776" s="38"/>
      <c r="L3776" s="39"/>
      <c r="M3776" s="42">
        <f>IF(L3776="",I3776,(MIN(J3776,(L3776*1.6*J3776))))</f>
        <v>0</v>
      </c>
      <c r="N3776" s="43">
        <f>IF(M3776=0,0,(M3776/J3776))</f>
        <v>0</v>
      </c>
    </row>
    <row r="3777" spans="3:14">
      <c r="C3777" s="9"/>
      <c r="D3777" s="7" t="e">
        <f>SUMIF(B$3:B$3844,B3777,M$3:M$3844)/(SUMIF(B$3:B$3844,B3777,J$3:J$3844))</f>
        <v>#DIV/0!</v>
      </c>
      <c r="E3777" s="10"/>
      <c r="F3777" s="18"/>
      <c r="G3777" s="5"/>
      <c r="H3777" s="5"/>
      <c r="I3777" s="11"/>
      <c r="J3777" s="11"/>
      <c r="K3777" s="38"/>
      <c r="L3777" s="39"/>
      <c r="M3777" s="42">
        <f>IF(L3777="",I3777,(MIN(J3777,(L3777*1.6*J3777))))</f>
        <v>0</v>
      </c>
      <c r="N3777" s="43">
        <f>IF(M3777=0,0,(M3777/J3777))</f>
        <v>0</v>
      </c>
    </row>
    <row r="3778" spans="3:14">
      <c r="C3778" s="9"/>
      <c r="D3778" s="7" t="e">
        <f>SUMIF(B$3:B$3844,B3778,M$3:M$3844)/(SUMIF(B$3:B$3844,B3778,J$3:J$3844))</f>
        <v>#DIV/0!</v>
      </c>
      <c r="E3778" s="10"/>
      <c r="F3778" s="18"/>
      <c r="G3778" s="5"/>
      <c r="H3778" s="5"/>
      <c r="I3778" s="11"/>
      <c r="J3778" s="11"/>
      <c r="K3778" s="38"/>
      <c r="L3778" s="39"/>
      <c r="M3778" s="42">
        <f>IF(L3778="",I3778,(MIN(J3778,(L3778*1.6*J3778))))</f>
        <v>0</v>
      </c>
      <c r="N3778" s="43">
        <f>IF(M3778=0,0,(M3778/J3778))</f>
        <v>0</v>
      </c>
    </row>
    <row r="3779" spans="3:14">
      <c r="C3779" s="9"/>
      <c r="D3779" s="7" t="e">
        <f>SUMIF(B$3:B$3844,B3779,M$3:M$3844)/(SUMIF(B$3:B$3844,B3779,J$3:J$3844))</f>
        <v>#DIV/0!</v>
      </c>
      <c r="E3779" s="10"/>
      <c r="F3779" s="18"/>
      <c r="G3779" s="5"/>
      <c r="H3779" s="5"/>
      <c r="I3779" s="11"/>
      <c r="J3779" s="11"/>
      <c r="K3779" s="38"/>
      <c r="L3779" s="39"/>
      <c r="M3779" s="42">
        <f>IF(L3779="",I3779,(MIN(J3779,(L3779*1.6*J3779))))</f>
        <v>0</v>
      </c>
      <c r="N3779" s="43">
        <f>IF(M3779=0,0,(M3779/J3779))</f>
        <v>0</v>
      </c>
    </row>
    <row r="3780" spans="3:14">
      <c r="C3780" s="9"/>
      <c r="D3780" s="7" t="e">
        <f>SUMIF(B$3:B$3844,B3780,M$3:M$3844)/(SUMIF(B$3:B$3844,B3780,J$3:J$3844))</f>
        <v>#DIV/0!</v>
      </c>
      <c r="E3780" s="10"/>
      <c r="F3780" s="18"/>
      <c r="G3780" s="5"/>
      <c r="H3780" s="5"/>
      <c r="I3780" s="11"/>
      <c r="J3780" s="11"/>
      <c r="K3780" s="38"/>
      <c r="L3780" s="39"/>
      <c r="M3780" s="42">
        <f>IF(L3780="",I3780,(MIN(J3780,(L3780*1.6*J3780))))</f>
        <v>0</v>
      </c>
      <c r="N3780" s="43">
        <f>IF(M3780=0,0,(M3780/J3780))</f>
        <v>0</v>
      </c>
    </row>
    <row r="3781" spans="3:14">
      <c r="C3781" s="9"/>
      <c r="D3781" s="7" t="e">
        <f>SUMIF(B$3:B$3844,B3781,M$3:M$3844)/(SUMIF(B$3:B$3844,B3781,J$3:J$3844))</f>
        <v>#DIV/0!</v>
      </c>
      <c r="E3781" s="10"/>
      <c r="F3781" s="18"/>
      <c r="G3781" s="5"/>
      <c r="H3781" s="5"/>
      <c r="I3781" s="11"/>
      <c r="J3781" s="11"/>
      <c r="K3781" s="38"/>
      <c r="L3781" s="39"/>
      <c r="M3781" s="42">
        <f>IF(L3781="",I3781,(MIN(J3781,(L3781*1.6*J3781))))</f>
        <v>0</v>
      </c>
      <c r="N3781" s="43">
        <f>IF(M3781=0,0,(M3781/J3781))</f>
        <v>0</v>
      </c>
    </row>
    <row r="3782" spans="3:14">
      <c r="C3782" s="9"/>
      <c r="D3782" s="7" t="e">
        <f>SUMIF(B$3:B$3844,B3782,M$3:M$3844)/(SUMIF(B$3:B$3844,B3782,J$3:J$3844))</f>
        <v>#DIV/0!</v>
      </c>
      <c r="E3782" s="10"/>
      <c r="F3782" s="18"/>
      <c r="G3782" s="5"/>
      <c r="H3782" s="5"/>
      <c r="I3782" s="11"/>
      <c r="J3782" s="11"/>
      <c r="K3782" s="38"/>
      <c r="L3782" s="39"/>
      <c r="M3782" s="42">
        <f>IF(L3782="",I3782,(MIN(J3782,(L3782*1.6*J3782))))</f>
        <v>0</v>
      </c>
      <c r="N3782" s="43">
        <f>IF(M3782=0,0,(M3782/J3782))</f>
        <v>0</v>
      </c>
    </row>
    <row r="3783" spans="3:14">
      <c r="C3783" s="9"/>
      <c r="D3783" s="7" t="e">
        <f>SUMIF(B$3:B$3844,B3783,M$3:M$3844)/(SUMIF(B$3:B$3844,B3783,J$3:J$3844))</f>
        <v>#DIV/0!</v>
      </c>
      <c r="E3783" s="10"/>
      <c r="F3783" s="18"/>
      <c r="G3783" s="5"/>
      <c r="H3783" s="5"/>
      <c r="I3783" s="11"/>
      <c r="J3783" s="11"/>
      <c r="K3783" s="38"/>
      <c r="L3783" s="39"/>
      <c r="M3783" s="42">
        <f>IF(L3783="",I3783,(MIN(J3783,(L3783*1.6*J3783))))</f>
        <v>0</v>
      </c>
      <c r="N3783" s="43">
        <f>IF(M3783=0,0,(M3783/J3783))</f>
        <v>0</v>
      </c>
    </row>
    <row r="3784" spans="3:14">
      <c r="C3784" s="9"/>
      <c r="D3784" s="7" t="e">
        <f>SUMIF(B$3:B$3844,B3784,M$3:M$3844)/(SUMIF(B$3:B$3844,B3784,J$3:J$3844))</f>
        <v>#DIV/0!</v>
      </c>
      <c r="E3784" s="10"/>
      <c r="F3784" s="18"/>
      <c r="G3784" s="5"/>
      <c r="H3784" s="5"/>
      <c r="I3784" s="11"/>
      <c r="J3784" s="11"/>
      <c r="K3784" s="38"/>
      <c r="L3784" s="39"/>
      <c r="M3784" s="42">
        <f>IF(L3784="",I3784,(MIN(J3784,(L3784*1.6*J3784))))</f>
        <v>0</v>
      </c>
      <c r="N3784" s="43">
        <f>IF(M3784=0,0,(M3784/J3784))</f>
        <v>0</v>
      </c>
    </row>
    <row r="3785" spans="3:14">
      <c r="C3785" s="9"/>
      <c r="D3785" s="7" t="e">
        <f>SUMIF(B$3:B$3844,B3785,M$3:M$3844)/(SUMIF(B$3:B$3844,B3785,J$3:J$3844))</f>
        <v>#DIV/0!</v>
      </c>
      <c r="E3785" s="10"/>
      <c r="F3785" s="18"/>
      <c r="G3785" s="5"/>
      <c r="H3785" s="5"/>
      <c r="I3785" s="11"/>
      <c r="J3785" s="11"/>
      <c r="K3785" s="38"/>
      <c r="L3785" s="39"/>
      <c r="M3785" s="42">
        <f>IF(L3785="",I3785,(MIN(J3785,(L3785*1.6*J3785))))</f>
        <v>0</v>
      </c>
      <c r="N3785" s="43">
        <f>IF(M3785=0,0,(M3785/J3785))</f>
        <v>0</v>
      </c>
    </row>
    <row r="3786" spans="3:14">
      <c r="C3786" s="9"/>
      <c r="D3786" s="7" t="e">
        <f>SUMIF(B$3:B$3844,B3786,M$3:M$3844)/(SUMIF(B$3:B$3844,B3786,J$3:J$3844))</f>
        <v>#DIV/0!</v>
      </c>
      <c r="E3786" s="10"/>
      <c r="F3786" s="18"/>
      <c r="G3786" s="5"/>
      <c r="H3786" s="5"/>
      <c r="I3786" s="11"/>
      <c r="J3786" s="11"/>
      <c r="K3786" s="38"/>
      <c r="L3786" s="39"/>
      <c r="M3786" s="42">
        <f>IF(L3786="",I3786,(MIN(J3786,(L3786*1.6*J3786))))</f>
        <v>0</v>
      </c>
      <c r="N3786" s="43">
        <f>IF(M3786=0,0,(M3786/J3786))</f>
        <v>0</v>
      </c>
    </row>
    <row r="3787" spans="3:14">
      <c r="C3787" s="9"/>
      <c r="D3787" s="7" t="e">
        <f>SUMIF(B$3:B$3844,B3787,M$3:M$3844)/(SUMIF(B$3:B$3844,B3787,J$3:J$3844))</f>
        <v>#DIV/0!</v>
      </c>
      <c r="E3787" s="10"/>
      <c r="F3787" s="18"/>
      <c r="G3787" s="5"/>
      <c r="H3787" s="5"/>
      <c r="I3787" s="11"/>
      <c r="J3787" s="11"/>
      <c r="K3787" s="38"/>
      <c r="L3787" s="39"/>
      <c r="M3787" s="42">
        <f>IF(L3787="",I3787,(MIN(J3787,(L3787*1.6*J3787))))</f>
        <v>0</v>
      </c>
      <c r="N3787" s="43">
        <f>IF(M3787=0,0,(M3787/J3787))</f>
        <v>0</v>
      </c>
    </row>
    <row r="3788" spans="3:14">
      <c r="C3788" s="9"/>
      <c r="D3788" s="7" t="e">
        <f>SUMIF(B$3:B$3844,B3788,M$3:M$3844)/(SUMIF(B$3:B$3844,B3788,J$3:J$3844))</f>
        <v>#DIV/0!</v>
      </c>
      <c r="E3788" s="10"/>
      <c r="F3788" s="18"/>
      <c r="G3788" s="5"/>
      <c r="H3788" s="5"/>
      <c r="I3788" s="11"/>
      <c r="J3788" s="11"/>
      <c r="K3788" s="38"/>
      <c r="L3788" s="39"/>
      <c r="M3788" s="42">
        <f>IF(L3788="",I3788,(MIN(J3788,(L3788*1.6*J3788))))</f>
        <v>0</v>
      </c>
      <c r="N3788" s="43">
        <f>IF(M3788=0,0,(M3788/J3788))</f>
        <v>0</v>
      </c>
    </row>
    <row r="3789" spans="3:14">
      <c r="C3789" s="9"/>
      <c r="D3789" s="7" t="e">
        <f>SUMIF(B$3:B$3844,B3789,M$3:M$3844)/(SUMIF(B$3:B$3844,B3789,J$3:J$3844))</f>
        <v>#DIV/0!</v>
      </c>
      <c r="E3789" s="10"/>
      <c r="F3789" s="18"/>
      <c r="G3789" s="5"/>
      <c r="H3789" s="5"/>
      <c r="I3789" s="11"/>
      <c r="J3789" s="11"/>
      <c r="K3789" s="38"/>
      <c r="L3789" s="39"/>
      <c r="M3789" s="42">
        <f>IF(L3789="",I3789,(MIN(J3789,(L3789*1.6*J3789))))</f>
        <v>0</v>
      </c>
      <c r="N3789" s="43">
        <f>IF(M3789=0,0,(M3789/J3789))</f>
        <v>0</v>
      </c>
    </row>
    <row r="3790" spans="3:14">
      <c r="C3790" s="9"/>
      <c r="D3790" s="7" t="e">
        <f>SUMIF(B$3:B$3844,B3790,M$3:M$3844)/(SUMIF(B$3:B$3844,B3790,J$3:J$3844))</f>
        <v>#DIV/0!</v>
      </c>
      <c r="E3790" s="10"/>
      <c r="F3790" s="18"/>
      <c r="G3790" s="5"/>
      <c r="H3790" s="5"/>
      <c r="I3790" s="11"/>
      <c r="J3790" s="11"/>
      <c r="K3790" s="38"/>
      <c r="L3790" s="39"/>
      <c r="M3790" s="42">
        <f>IF(L3790="",I3790,(MIN(J3790,(L3790*1.6*J3790))))</f>
        <v>0</v>
      </c>
      <c r="N3790" s="43">
        <f>IF(M3790=0,0,(M3790/J3790))</f>
        <v>0</v>
      </c>
    </row>
    <row r="3791" spans="3:14">
      <c r="C3791" s="9"/>
      <c r="D3791" s="7" t="e">
        <f>SUMIF(B$3:B$3844,B3791,M$3:M$3844)/(SUMIF(B$3:B$3844,B3791,J$3:J$3844))</f>
        <v>#DIV/0!</v>
      </c>
      <c r="E3791" s="10"/>
      <c r="F3791" s="18"/>
      <c r="G3791" s="5"/>
      <c r="H3791" s="5"/>
      <c r="I3791" s="11"/>
      <c r="J3791" s="11"/>
      <c r="K3791" s="38"/>
      <c r="L3791" s="39"/>
      <c r="M3791" s="42">
        <f>IF(L3791="",I3791,(MIN(J3791,(L3791*1.6*J3791))))</f>
        <v>0</v>
      </c>
      <c r="N3791" s="43">
        <f>IF(M3791=0,0,(M3791/J3791))</f>
        <v>0</v>
      </c>
    </row>
    <row r="3792" spans="3:14">
      <c r="C3792" s="9"/>
      <c r="D3792" s="7" t="e">
        <f>SUMIF(B$3:B$3844,B3792,M$3:M$3844)/(SUMIF(B$3:B$3844,B3792,J$3:J$3844))</f>
        <v>#DIV/0!</v>
      </c>
      <c r="E3792" s="10"/>
      <c r="F3792" s="18"/>
      <c r="G3792" s="5"/>
      <c r="H3792" s="5"/>
      <c r="I3792" s="11"/>
      <c r="J3792" s="11"/>
      <c r="K3792" s="38"/>
      <c r="L3792" s="39"/>
      <c r="M3792" s="42">
        <f>IF(L3792="",I3792,(MIN(J3792,(L3792*1.6*J3792))))</f>
        <v>0</v>
      </c>
      <c r="N3792" s="43">
        <f>IF(M3792=0,0,(M3792/J3792))</f>
        <v>0</v>
      </c>
    </row>
    <row r="3793" spans="3:14">
      <c r="C3793" s="9"/>
      <c r="D3793" s="7" t="e">
        <f>SUMIF(B$3:B$3844,B3793,M$3:M$3844)/(SUMIF(B$3:B$3844,B3793,J$3:J$3844))</f>
        <v>#DIV/0!</v>
      </c>
      <c r="E3793" s="10"/>
      <c r="F3793" s="18"/>
      <c r="G3793" s="5"/>
      <c r="H3793" s="5"/>
      <c r="I3793" s="11"/>
      <c r="J3793" s="11"/>
      <c r="K3793" s="38"/>
      <c r="L3793" s="39"/>
      <c r="M3793" s="42">
        <f>IF(L3793="",I3793,(MIN(J3793,(L3793*1.6*J3793))))</f>
        <v>0</v>
      </c>
      <c r="N3793" s="43">
        <f>IF(M3793=0,0,(M3793/J3793))</f>
        <v>0</v>
      </c>
    </row>
    <row r="3794" spans="3:14">
      <c r="C3794" s="9"/>
      <c r="D3794" s="7" t="e">
        <f>SUMIF(B$3:B$3844,B3794,M$3:M$3844)/(SUMIF(B$3:B$3844,B3794,J$3:J$3844))</f>
        <v>#DIV/0!</v>
      </c>
      <c r="E3794" s="10"/>
      <c r="F3794" s="18"/>
      <c r="G3794" s="5"/>
      <c r="H3794" s="5"/>
      <c r="I3794" s="11"/>
      <c r="J3794" s="11"/>
      <c r="K3794" s="38"/>
      <c r="L3794" s="39"/>
      <c r="M3794" s="42">
        <f>IF(L3794="",I3794,(MIN(J3794,(L3794*1.6*J3794))))</f>
        <v>0</v>
      </c>
      <c r="N3794" s="43">
        <f>IF(M3794=0,0,(M3794/J3794))</f>
        <v>0</v>
      </c>
    </row>
    <row r="3795" spans="3:14">
      <c r="C3795" s="9"/>
      <c r="D3795" s="7" t="e">
        <f>SUMIF(B$3:B$3844,B3795,M$3:M$3844)/(SUMIF(B$3:B$3844,B3795,J$3:J$3844))</f>
        <v>#DIV/0!</v>
      </c>
      <c r="E3795" s="10"/>
      <c r="F3795" s="18"/>
      <c r="G3795" s="5"/>
      <c r="H3795" s="5"/>
      <c r="I3795" s="11"/>
      <c r="J3795" s="11"/>
      <c r="K3795" s="38"/>
      <c r="L3795" s="39"/>
      <c r="M3795" s="42">
        <f>IF(L3795="",I3795,(MIN(J3795,(L3795*1.6*J3795))))</f>
        <v>0</v>
      </c>
      <c r="N3795" s="43">
        <f>IF(M3795=0,0,(M3795/J3795))</f>
        <v>0</v>
      </c>
    </row>
    <row r="3796" spans="3:14">
      <c r="C3796" s="9"/>
      <c r="D3796" s="7" t="e">
        <f>SUMIF(B$3:B$3844,B3796,M$3:M$3844)/(SUMIF(B$3:B$3844,B3796,J$3:J$3844))</f>
        <v>#DIV/0!</v>
      </c>
      <c r="E3796" s="10"/>
      <c r="F3796" s="18"/>
      <c r="G3796" s="5"/>
      <c r="H3796" s="5"/>
      <c r="I3796" s="11"/>
      <c r="J3796" s="11"/>
      <c r="K3796" s="38"/>
      <c r="L3796" s="39"/>
      <c r="M3796" s="42">
        <f>IF(L3796="",I3796,(MIN(J3796,(L3796*1.6*J3796))))</f>
        <v>0</v>
      </c>
      <c r="N3796" s="43">
        <f>IF(M3796=0,0,(M3796/J3796))</f>
        <v>0</v>
      </c>
    </row>
    <row r="3797" spans="3:14">
      <c r="C3797" s="9"/>
      <c r="D3797" s="7" t="e">
        <f>SUMIF(B$3:B$3844,B3797,M$3:M$3844)/(SUMIF(B$3:B$3844,B3797,J$3:J$3844))</f>
        <v>#DIV/0!</v>
      </c>
      <c r="E3797" s="10"/>
      <c r="F3797" s="18"/>
      <c r="G3797" s="5"/>
      <c r="H3797" s="5"/>
      <c r="I3797" s="11"/>
      <c r="J3797" s="11"/>
      <c r="K3797" s="38"/>
      <c r="L3797" s="39"/>
      <c r="M3797" s="42">
        <f>IF(L3797="",I3797,(MIN(J3797,(L3797*1.6*J3797))))</f>
        <v>0</v>
      </c>
      <c r="N3797" s="43">
        <f>IF(M3797=0,0,(M3797/J3797))</f>
        <v>0</v>
      </c>
    </row>
    <row r="3798" spans="3:14">
      <c r="C3798" s="9"/>
      <c r="D3798" s="7" t="e">
        <f>SUMIF(B$3:B$3844,B3798,M$3:M$3844)/(SUMIF(B$3:B$3844,B3798,J$3:J$3844))</f>
        <v>#DIV/0!</v>
      </c>
      <c r="E3798" s="10"/>
      <c r="F3798" s="18"/>
      <c r="G3798" s="5"/>
      <c r="H3798" s="5"/>
      <c r="I3798" s="11"/>
      <c r="J3798" s="11"/>
      <c r="K3798" s="38"/>
      <c r="L3798" s="39"/>
      <c r="M3798" s="42">
        <f>IF(L3798="",I3798,(MIN(J3798,(L3798*1.6*J3798))))</f>
        <v>0</v>
      </c>
      <c r="N3798" s="43">
        <f>IF(M3798=0,0,(M3798/J3798))</f>
        <v>0</v>
      </c>
    </row>
    <row r="3799" spans="3:14">
      <c r="C3799" s="9"/>
      <c r="D3799" s="7" t="e">
        <f>SUMIF(B$3:B$3844,B3799,M$3:M$3844)/(SUMIF(B$3:B$3844,B3799,J$3:J$3844))</f>
        <v>#DIV/0!</v>
      </c>
      <c r="E3799" s="10"/>
      <c r="F3799" s="18"/>
      <c r="G3799" s="5"/>
      <c r="H3799" s="5"/>
      <c r="I3799" s="11"/>
      <c r="J3799" s="11"/>
      <c r="K3799" s="38"/>
      <c r="L3799" s="39"/>
      <c r="M3799" s="42">
        <f>IF(L3799="",I3799,(MIN(J3799,(L3799*1.6*J3799))))</f>
        <v>0</v>
      </c>
      <c r="N3799" s="43">
        <f>IF(M3799=0,0,(M3799/J3799))</f>
        <v>0</v>
      </c>
    </row>
    <row r="3800" spans="3:14">
      <c r="C3800" s="9"/>
      <c r="D3800" s="7" t="e">
        <f>SUMIF(B$3:B$3844,B3800,M$3:M$3844)/(SUMIF(B$3:B$3844,B3800,J$3:J$3844))</f>
        <v>#DIV/0!</v>
      </c>
      <c r="E3800" s="10"/>
      <c r="F3800" s="18"/>
      <c r="G3800" s="5"/>
      <c r="H3800" s="5"/>
      <c r="I3800" s="11"/>
      <c r="J3800" s="11"/>
      <c r="K3800" s="38"/>
      <c r="L3800" s="39"/>
      <c r="M3800" s="42">
        <f>IF(L3800="",I3800,(MIN(J3800,(L3800*1.6*J3800))))</f>
        <v>0</v>
      </c>
      <c r="N3800" s="43">
        <f>IF(M3800=0,0,(M3800/J3800))</f>
        <v>0</v>
      </c>
    </row>
    <row r="3801" spans="3:14">
      <c r="C3801" s="9"/>
      <c r="D3801" s="7" t="e">
        <f>SUMIF(B$3:B$3844,B3801,M$3:M$3844)/(SUMIF(B$3:B$3844,B3801,J$3:J$3844))</f>
        <v>#DIV/0!</v>
      </c>
      <c r="E3801" s="10"/>
      <c r="F3801" s="18"/>
      <c r="G3801" s="5"/>
      <c r="H3801" s="5"/>
      <c r="I3801" s="11"/>
      <c r="J3801" s="11"/>
      <c r="K3801" s="38"/>
      <c r="L3801" s="39"/>
      <c r="M3801" s="42">
        <f>IF(L3801="",I3801,(MIN(J3801,(L3801*1.6*J3801))))</f>
        <v>0</v>
      </c>
      <c r="N3801" s="43">
        <f>IF(M3801=0,0,(M3801/J3801))</f>
        <v>0</v>
      </c>
    </row>
    <row r="3802" spans="3:14">
      <c r="C3802" s="9"/>
      <c r="D3802" s="7" t="e">
        <f>SUMIF(B$3:B$3844,B3802,M$3:M$3844)/(SUMIF(B$3:B$3844,B3802,J$3:J$3844))</f>
        <v>#DIV/0!</v>
      </c>
      <c r="E3802" s="10"/>
      <c r="F3802" s="18"/>
      <c r="G3802" s="5"/>
      <c r="H3802" s="5"/>
      <c r="I3802" s="11"/>
      <c r="J3802" s="11"/>
      <c r="K3802" s="38"/>
      <c r="L3802" s="39"/>
      <c r="M3802" s="42">
        <f>IF(L3802="",I3802,(MIN(J3802,(L3802*1.6*J3802))))</f>
        <v>0</v>
      </c>
      <c r="N3802" s="43">
        <f>IF(M3802=0,0,(M3802/J3802))</f>
        <v>0</v>
      </c>
    </row>
    <row r="3803" spans="3:14">
      <c r="C3803" s="9"/>
      <c r="D3803" s="7" t="e">
        <f>SUMIF(B$3:B$3844,B3803,M$3:M$3844)/(SUMIF(B$3:B$3844,B3803,J$3:J$3844))</f>
        <v>#DIV/0!</v>
      </c>
      <c r="E3803" s="10"/>
      <c r="F3803" s="18"/>
      <c r="G3803" s="5"/>
      <c r="H3803" s="5"/>
      <c r="I3803" s="11"/>
      <c r="J3803" s="11"/>
      <c r="K3803" s="38"/>
      <c r="L3803" s="39"/>
      <c r="M3803" s="42">
        <f>IF(L3803="",I3803,(MIN(J3803,(L3803*1.6*J3803))))</f>
        <v>0</v>
      </c>
      <c r="N3803" s="43">
        <f>IF(M3803=0,0,(M3803/J3803))</f>
        <v>0</v>
      </c>
    </row>
    <row r="3804" spans="3:14">
      <c r="C3804" s="9"/>
      <c r="D3804" s="7" t="e">
        <f>SUMIF(B$3:B$3844,B3804,M$3:M$3844)/(SUMIF(B$3:B$3844,B3804,J$3:J$3844))</f>
        <v>#DIV/0!</v>
      </c>
      <c r="E3804" s="10"/>
      <c r="F3804" s="18"/>
      <c r="G3804" s="5"/>
      <c r="H3804" s="5"/>
      <c r="I3804" s="11"/>
      <c r="J3804" s="11"/>
      <c r="K3804" s="38"/>
      <c r="L3804" s="39"/>
      <c r="M3804" s="42">
        <f>IF(L3804="",I3804,(MIN(J3804,(L3804*1.6*J3804))))</f>
        <v>0</v>
      </c>
      <c r="N3804" s="43">
        <f>IF(M3804=0,0,(M3804/J3804))</f>
        <v>0</v>
      </c>
    </row>
    <row r="3805" spans="3:14">
      <c r="C3805" s="9"/>
      <c r="D3805" s="7" t="e">
        <f>SUMIF(B$3:B$3844,B3805,M$3:M$3844)/(SUMIF(B$3:B$3844,B3805,J$3:J$3844))</f>
        <v>#DIV/0!</v>
      </c>
      <c r="E3805" s="10"/>
      <c r="F3805" s="18"/>
      <c r="G3805" s="5"/>
      <c r="H3805" s="5"/>
      <c r="I3805" s="11"/>
      <c r="J3805" s="11"/>
      <c r="K3805" s="38"/>
      <c r="L3805" s="39"/>
      <c r="M3805" s="42">
        <f>IF(L3805="",I3805,(MIN(J3805,(L3805*1.6*J3805))))</f>
        <v>0</v>
      </c>
      <c r="N3805" s="43">
        <f>IF(M3805=0,0,(M3805/J3805))</f>
        <v>0</v>
      </c>
    </row>
    <row r="3806" spans="3:14">
      <c r="C3806" s="9"/>
      <c r="D3806" s="7" t="e">
        <f>SUMIF(B$3:B$3844,B3806,M$3:M$3844)/(SUMIF(B$3:B$3844,B3806,J$3:J$3844))</f>
        <v>#DIV/0!</v>
      </c>
      <c r="E3806" s="10"/>
      <c r="F3806" s="18"/>
      <c r="G3806" s="5"/>
      <c r="H3806" s="5"/>
      <c r="I3806" s="11"/>
      <c r="J3806" s="11"/>
      <c r="K3806" s="38"/>
      <c r="L3806" s="39"/>
      <c r="M3806" s="42">
        <f>IF(L3806="",I3806,(MIN(J3806,(L3806*1.6*J3806))))</f>
        <v>0</v>
      </c>
      <c r="N3806" s="43">
        <f>IF(M3806=0,0,(M3806/J3806))</f>
        <v>0</v>
      </c>
    </row>
    <row r="3807" spans="3:14">
      <c r="C3807" s="9"/>
      <c r="D3807" s="7" t="e">
        <f>SUMIF(B$3:B$3844,B3807,M$3:M$3844)/(SUMIF(B$3:B$3844,B3807,J$3:J$3844))</f>
        <v>#DIV/0!</v>
      </c>
      <c r="E3807" s="10"/>
      <c r="F3807" s="18"/>
      <c r="G3807" s="5"/>
      <c r="H3807" s="5"/>
      <c r="I3807" s="11"/>
      <c r="J3807" s="11"/>
      <c r="K3807" s="38"/>
      <c r="L3807" s="39"/>
      <c r="M3807" s="42">
        <f>IF(L3807="",I3807,(MIN(J3807,(L3807*1.6*J3807))))</f>
        <v>0</v>
      </c>
      <c r="N3807" s="43">
        <f>IF(M3807=0,0,(M3807/J3807))</f>
        <v>0</v>
      </c>
    </row>
    <row r="3808" spans="3:14">
      <c r="C3808" s="9"/>
      <c r="D3808" s="7" t="e">
        <f>SUMIF(B$3:B$3844,B3808,M$3:M$3844)/(SUMIF(B$3:B$3844,B3808,J$3:J$3844))</f>
        <v>#DIV/0!</v>
      </c>
      <c r="E3808" s="10"/>
      <c r="F3808" s="18"/>
      <c r="G3808" s="5"/>
      <c r="H3808" s="5"/>
      <c r="I3808" s="11"/>
      <c r="J3808" s="11"/>
      <c r="K3808" s="38"/>
      <c r="L3808" s="39"/>
      <c r="M3808" s="42">
        <f>IF(L3808="",I3808,(MIN(J3808,(L3808*1.6*J3808))))</f>
        <v>0</v>
      </c>
      <c r="N3808" s="43">
        <f>IF(M3808=0,0,(M3808/J3808))</f>
        <v>0</v>
      </c>
    </row>
    <row r="3809" spans="3:14">
      <c r="C3809" s="9"/>
      <c r="D3809" s="7" t="e">
        <f>SUMIF(B$3:B$3844,B3809,M$3:M$3844)/(SUMIF(B$3:B$3844,B3809,J$3:J$3844))</f>
        <v>#DIV/0!</v>
      </c>
      <c r="E3809" s="10"/>
      <c r="F3809" s="18"/>
      <c r="G3809" s="5"/>
      <c r="H3809" s="5"/>
      <c r="I3809" s="11"/>
      <c r="J3809" s="11"/>
      <c r="K3809" s="38"/>
      <c r="L3809" s="39"/>
      <c r="M3809" s="42">
        <f>IF(L3809="",I3809,(MIN(J3809,(L3809*1.6*J3809))))</f>
        <v>0</v>
      </c>
      <c r="N3809" s="43">
        <f>IF(M3809=0,0,(M3809/J3809))</f>
        <v>0</v>
      </c>
    </row>
    <row r="3810" spans="3:14">
      <c r="C3810" s="9"/>
      <c r="D3810" s="7" t="e">
        <f>SUMIF(B$3:B$3844,B3810,M$3:M$3844)/(SUMIF(B$3:B$3844,B3810,J$3:J$3844))</f>
        <v>#DIV/0!</v>
      </c>
      <c r="E3810" s="10"/>
      <c r="F3810" s="18"/>
      <c r="G3810" s="5"/>
      <c r="H3810" s="5"/>
      <c r="I3810" s="11"/>
      <c r="J3810" s="11"/>
      <c r="K3810" s="38"/>
      <c r="L3810" s="39"/>
      <c r="M3810" s="42">
        <f>IF(L3810="",I3810,(MIN(J3810,(L3810*1.6*J3810))))</f>
        <v>0</v>
      </c>
      <c r="N3810" s="43">
        <f>IF(M3810=0,0,(M3810/J3810))</f>
        <v>0</v>
      </c>
    </row>
    <row r="3811" spans="3:14">
      <c r="C3811" s="9"/>
      <c r="D3811" s="7" t="e">
        <f>SUMIF(B$3:B$3844,B3811,M$3:M$3844)/(SUMIF(B$3:B$3844,B3811,J$3:J$3844))</f>
        <v>#DIV/0!</v>
      </c>
      <c r="E3811" s="10"/>
      <c r="F3811" s="18"/>
      <c r="G3811" s="5"/>
      <c r="H3811" s="5"/>
      <c r="I3811" s="11"/>
      <c r="J3811" s="11"/>
      <c r="K3811" s="38"/>
      <c r="L3811" s="39"/>
      <c r="M3811" s="42">
        <f>IF(L3811="",I3811,(MIN(J3811,(L3811*1.6*J3811))))</f>
        <v>0</v>
      </c>
      <c r="N3811" s="43">
        <f>IF(M3811=0,0,(M3811/J3811))</f>
        <v>0</v>
      </c>
    </row>
    <row r="3812" spans="3:14">
      <c r="C3812" s="9"/>
      <c r="D3812" s="7" t="e">
        <f>SUMIF(B$3:B$3844,B3812,M$3:M$3844)/(SUMIF(B$3:B$3844,B3812,J$3:J$3844))</f>
        <v>#DIV/0!</v>
      </c>
      <c r="E3812" s="10"/>
      <c r="F3812" s="18"/>
      <c r="G3812" s="5"/>
      <c r="H3812" s="5"/>
      <c r="I3812" s="11"/>
      <c r="J3812" s="11"/>
      <c r="K3812" s="38"/>
      <c r="L3812" s="39"/>
      <c r="M3812" s="42">
        <f>IF(L3812="",I3812,(MIN(J3812,(L3812*1.6*J3812))))</f>
        <v>0</v>
      </c>
      <c r="N3812" s="43">
        <f>IF(M3812=0,0,(M3812/J3812))</f>
        <v>0</v>
      </c>
    </row>
    <row r="3813" spans="3:14">
      <c r="C3813" s="9"/>
      <c r="D3813" s="7" t="e">
        <f>SUMIF(B$3:B$3844,B3813,M$3:M$3844)/(SUMIF(B$3:B$3844,B3813,J$3:J$3844))</f>
        <v>#DIV/0!</v>
      </c>
      <c r="E3813" s="10"/>
      <c r="F3813" s="18"/>
      <c r="G3813" s="5"/>
      <c r="H3813" s="5"/>
      <c r="I3813" s="11"/>
      <c r="J3813" s="11"/>
      <c r="K3813" s="38"/>
      <c r="L3813" s="39"/>
      <c r="M3813" s="42">
        <f>IF(L3813="",I3813,(MIN(J3813,(L3813*1.6*J3813))))</f>
        <v>0</v>
      </c>
      <c r="N3813" s="43">
        <f>IF(M3813=0,0,(M3813/J3813))</f>
        <v>0</v>
      </c>
    </row>
    <row r="3814" spans="3:14">
      <c r="C3814" s="9"/>
      <c r="D3814" s="7" t="e">
        <f>SUMIF(B$3:B$3844,B3814,M$3:M$3844)/(SUMIF(B$3:B$3844,B3814,J$3:J$3844))</f>
        <v>#DIV/0!</v>
      </c>
      <c r="E3814" s="10"/>
      <c r="F3814" s="18"/>
      <c r="G3814" s="5"/>
      <c r="H3814" s="5"/>
      <c r="I3814" s="11"/>
      <c r="J3814" s="11"/>
      <c r="K3814" s="38"/>
      <c r="L3814" s="39"/>
      <c r="M3814" s="42">
        <f>IF(L3814="",I3814,(MIN(J3814,(L3814*1.6*J3814))))</f>
        <v>0</v>
      </c>
      <c r="N3814" s="43">
        <f>IF(M3814=0,0,(M3814/J3814))</f>
        <v>0</v>
      </c>
    </row>
    <row r="3815" spans="3:14">
      <c r="C3815" s="9"/>
      <c r="D3815" s="7" t="e">
        <f>SUMIF(B$3:B$3844,B3815,M$3:M$3844)/(SUMIF(B$3:B$3844,B3815,J$3:J$3844))</f>
        <v>#DIV/0!</v>
      </c>
      <c r="E3815" s="10"/>
      <c r="F3815" s="18"/>
      <c r="G3815" s="5"/>
      <c r="H3815" s="5"/>
      <c r="I3815" s="11"/>
      <c r="J3815" s="11"/>
      <c r="K3815" s="38"/>
      <c r="L3815" s="39"/>
      <c r="M3815" s="42">
        <f>IF(L3815="",I3815,(MIN(J3815,(L3815*1.6*J3815))))</f>
        <v>0</v>
      </c>
      <c r="N3815" s="43">
        <f>IF(M3815=0,0,(M3815/J3815))</f>
        <v>0</v>
      </c>
    </row>
    <row r="3816" spans="3:14">
      <c r="C3816" s="9"/>
      <c r="D3816" s="7" t="e">
        <f>SUMIF(B$3:B$3844,B3816,M$3:M$3844)/(SUMIF(B$3:B$3844,B3816,J$3:J$3844))</f>
        <v>#DIV/0!</v>
      </c>
      <c r="E3816" s="10"/>
      <c r="F3816" s="18"/>
      <c r="G3816" s="5"/>
      <c r="H3816" s="5"/>
      <c r="I3816" s="11"/>
      <c r="J3816" s="11"/>
      <c r="K3816" s="38"/>
      <c r="L3816" s="39"/>
      <c r="M3816" s="42">
        <f>IF(L3816="",I3816,(MIN(J3816,(L3816*1.6*J3816))))</f>
        <v>0</v>
      </c>
      <c r="N3816" s="43">
        <f>IF(M3816=0,0,(M3816/J3816))</f>
        <v>0</v>
      </c>
    </row>
    <row r="3817" spans="3:14">
      <c r="C3817" s="9"/>
      <c r="D3817" s="7" t="e">
        <f>SUMIF(B$3:B$3844,B3817,M$3:M$3844)/(SUMIF(B$3:B$3844,B3817,J$3:J$3844))</f>
        <v>#DIV/0!</v>
      </c>
      <c r="E3817" s="10"/>
      <c r="F3817" s="18"/>
      <c r="G3817" s="5"/>
      <c r="H3817" s="5"/>
      <c r="I3817" s="11"/>
      <c r="J3817" s="11"/>
      <c r="K3817" s="38"/>
      <c r="L3817" s="39"/>
      <c r="M3817" s="42">
        <f>IF(L3817="",I3817,(MIN(J3817,(L3817*1.6*J3817))))</f>
        <v>0</v>
      </c>
      <c r="N3817" s="43">
        <f>IF(M3817=0,0,(M3817/J3817))</f>
        <v>0</v>
      </c>
    </row>
    <row r="3818" spans="3:14">
      <c r="C3818" s="9"/>
      <c r="D3818" s="7" t="e">
        <f>SUMIF(B$3:B$3844,B3818,M$3:M$3844)/(SUMIF(B$3:B$3844,B3818,J$3:J$3844))</f>
        <v>#DIV/0!</v>
      </c>
      <c r="E3818" s="10"/>
      <c r="F3818" s="18"/>
      <c r="G3818" s="5"/>
      <c r="H3818" s="5"/>
      <c r="I3818" s="11"/>
      <c r="J3818" s="11"/>
      <c r="K3818" s="38"/>
      <c r="L3818" s="39"/>
      <c r="M3818" s="42">
        <f>IF(L3818="",I3818,(MIN(J3818,(L3818*1.6*J3818))))</f>
        <v>0</v>
      </c>
      <c r="N3818" s="43">
        <f>IF(M3818=0,0,(M3818/J3818))</f>
        <v>0</v>
      </c>
    </row>
    <row r="3819" spans="3:14">
      <c r="C3819" s="9"/>
      <c r="D3819" s="7" t="e">
        <f>SUMIF(B$3:B$3844,B3819,M$3:M$3844)/(SUMIF(B$3:B$3844,B3819,J$3:J$3844))</f>
        <v>#DIV/0!</v>
      </c>
      <c r="E3819" s="10"/>
      <c r="F3819" s="18"/>
      <c r="G3819" s="5"/>
      <c r="H3819" s="5"/>
      <c r="I3819" s="11"/>
      <c r="J3819" s="11"/>
      <c r="K3819" s="38"/>
      <c r="L3819" s="39"/>
      <c r="M3819" s="42">
        <f>IF(L3819="",I3819,(MIN(J3819,(L3819*1.6*J3819))))</f>
        <v>0</v>
      </c>
      <c r="N3819" s="43">
        <f>IF(M3819=0,0,(M3819/J3819))</f>
        <v>0</v>
      </c>
    </row>
    <row r="3820" spans="3:14">
      <c r="C3820" s="9"/>
      <c r="D3820" s="7" t="e">
        <f>SUMIF(B$3:B$3844,B3820,M$3:M$3844)/(SUMIF(B$3:B$3844,B3820,J$3:J$3844))</f>
        <v>#DIV/0!</v>
      </c>
      <c r="E3820" s="10"/>
      <c r="F3820" s="18"/>
      <c r="G3820" s="5"/>
      <c r="H3820" s="5"/>
      <c r="I3820" s="11"/>
      <c r="J3820" s="11"/>
      <c r="K3820" s="38"/>
      <c r="L3820" s="39"/>
      <c r="M3820" s="42">
        <f>IF(L3820="",I3820,(MIN(J3820,(L3820*1.6*J3820))))</f>
        <v>0</v>
      </c>
      <c r="N3820" s="43">
        <f>IF(M3820=0,0,(M3820/J3820))</f>
        <v>0</v>
      </c>
    </row>
    <row r="3821" spans="3:14">
      <c r="C3821" s="9"/>
      <c r="D3821" s="7" t="e">
        <f>SUMIF(B$3:B$3844,B3821,M$3:M$3844)/(SUMIF(B$3:B$3844,B3821,J$3:J$3844))</f>
        <v>#DIV/0!</v>
      </c>
      <c r="E3821" s="10"/>
      <c r="F3821" s="18"/>
      <c r="G3821" s="5"/>
      <c r="H3821" s="5"/>
      <c r="I3821" s="11"/>
      <c r="J3821" s="11"/>
      <c r="K3821" s="38"/>
      <c r="L3821" s="39"/>
      <c r="M3821" s="42">
        <f>IF(L3821="",I3821,(MIN(J3821,(L3821*1.6*J3821))))</f>
        <v>0</v>
      </c>
      <c r="N3821" s="43">
        <f>IF(M3821=0,0,(M3821/J3821))</f>
        <v>0</v>
      </c>
    </row>
    <row r="3822" spans="3:14">
      <c r="C3822" s="9"/>
      <c r="D3822" s="7" t="e">
        <f>SUMIF(B$3:B$3844,B3822,M$3:M$3844)/(SUMIF(B$3:B$3844,B3822,J$3:J$3844))</f>
        <v>#DIV/0!</v>
      </c>
      <c r="E3822" s="10"/>
      <c r="F3822" s="18"/>
      <c r="G3822" s="5"/>
      <c r="H3822" s="5"/>
      <c r="I3822" s="11"/>
      <c r="J3822" s="11"/>
      <c r="K3822" s="38"/>
      <c r="L3822" s="39"/>
      <c r="M3822" s="42">
        <f>IF(L3822="",I3822,(MIN(J3822,(L3822*1.6*J3822))))</f>
        <v>0</v>
      </c>
      <c r="N3822" s="43">
        <f>IF(M3822=0,0,(M3822/J3822))</f>
        <v>0</v>
      </c>
    </row>
    <row r="3823" spans="3:14">
      <c r="C3823" s="9"/>
      <c r="D3823" s="7" t="e">
        <f>SUMIF(B$3:B$3844,B3823,M$3:M$3844)/(SUMIF(B$3:B$3844,B3823,J$3:J$3844))</f>
        <v>#DIV/0!</v>
      </c>
      <c r="E3823" s="10"/>
      <c r="F3823" s="18"/>
      <c r="G3823" s="5"/>
      <c r="H3823" s="5"/>
      <c r="I3823" s="11"/>
      <c r="J3823" s="11"/>
      <c r="K3823" s="38"/>
      <c r="L3823" s="39"/>
      <c r="M3823" s="42">
        <f>IF(L3823="",I3823,(MIN(J3823,(L3823*1.6*J3823))))</f>
        <v>0</v>
      </c>
      <c r="N3823" s="43">
        <f>IF(M3823=0,0,(M3823/J3823))</f>
        <v>0</v>
      </c>
    </row>
    <row r="3824" spans="3:14">
      <c r="C3824" s="9"/>
      <c r="D3824" s="7" t="e">
        <f>SUMIF(B$3:B$3844,B3824,M$3:M$3844)/(SUMIF(B$3:B$3844,B3824,J$3:J$3844))</f>
        <v>#DIV/0!</v>
      </c>
      <c r="E3824" s="10"/>
      <c r="F3824" s="18"/>
      <c r="G3824" s="5"/>
      <c r="H3824" s="5"/>
      <c r="I3824" s="11"/>
      <c r="J3824" s="11"/>
      <c r="K3824" s="38"/>
      <c r="L3824" s="39"/>
      <c r="M3824" s="42">
        <f>IF(L3824="",I3824,(MIN(J3824,(L3824*1.6*J3824))))</f>
        <v>0</v>
      </c>
      <c r="N3824" s="43">
        <f>IF(M3824=0,0,(M3824/J3824))</f>
        <v>0</v>
      </c>
    </row>
    <row r="3825" spans="3:14">
      <c r="C3825" s="9"/>
      <c r="D3825" s="7" t="e">
        <f>SUMIF(B$3:B$3844,B3825,M$3:M$3844)/(SUMIF(B$3:B$3844,B3825,J$3:J$3844))</f>
        <v>#DIV/0!</v>
      </c>
      <c r="E3825" s="10"/>
      <c r="F3825" s="18"/>
      <c r="G3825" s="5"/>
      <c r="H3825" s="5"/>
      <c r="I3825" s="11"/>
      <c r="J3825" s="11"/>
      <c r="K3825" s="38"/>
      <c r="L3825" s="39"/>
      <c r="M3825" s="42">
        <f>IF(L3825="",I3825,(MIN(J3825,(L3825*1.6*J3825))))</f>
        <v>0</v>
      </c>
      <c r="N3825" s="43">
        <f>IF(M3825=0,0,(M3825/J3825))</f>
        <v>0</v>
      </c>
    </row>
    <row r="3826" spans="3:14">
      <c r="C3826" s="9"/>
      <c r="D3826" s="7" t="e">
        <f>SUMIF(B$3:B$3844,B3826,M$3:M$3844)/(SUMIF(B$3:B$3844,B3826,J$3:J$3844))</f>
        <v>#DIV/0!</v>
      </c>
      <c r="E3826" s="10"/>
      <c r="F3826" s="18"/>
      <c r="G3826" s="5"/>
      <c r="H3826" s="5"/>
      <c r="I3826" s="11"/>
      <c r="J3826" s="11"/>
      <c r="K3826" s="38"/>
      <c r="L3826" s="39"/>
      <c r="M3826" s="42">
        <f>IF(L3826="",I3826,(MIN(J3826,(L3826*1.6*J3826))))</f>
        <v>0</v>
      </c>
      <c r="N3826" s="43">
        <f>IF(M3826=0,0,(M3826/J3826))</f>
        <v>0</v>
      </c>
    </row>
    <row r="3827" spans="3:14">
      <c r="C3827" s="9"/>
      <c r="D3827" s="7" t="e">
        <f>SUMIF(B$3:B$3844,B3827,M$3:M$3844)/(SUMIF(B$3:B$3844,B3827,J$3:J$3844))</f>
        <v>#DIV/0!</v>
      </c>
      <c r="E3827" s="10"/>
      <c r="F3827" s="18"/>
      <c r="G3827" s="5"/>
      <c r="H3827" s="5"/>
      <c r="I3827" s="11"/>
      <c r="J3827" s="11"/>
      <c r="K3827" s="38"/>
      <c r="L3827" s="39"/>
      <c r="M3827" s="42">
        <f>IF(L3827="",I3827,(MIN(J3827,(L3827*1.6*J3827))))</f>
        <v>0</v>
      </c>
      <c r="N3827" s="43">
        <f>IF(M3827=0,0,(M3827/J3827))</f>
        <v>0</v>
      </c>
    </row>
    <row r="3828" spans="3:14">
      <c r="C3828" s="9"/>
      <c r="D3828" s="7" t="e">
        <f>SUMIF(B$3:B$3844,B3828,M$3:M$3844)/(SUMIF(B$3:B$3844,B3828,J$3:J$3844))</f>
        <v>#DIV/0!</v>
      </c>
      <c r="E3828" s="10"/>
      <c r="F3828" s="18"/>
      <c r="G3828" s="5"/>
      <c r="H3828" s="5"/>
      <c r="I3828" s="11"/>
      <c r="J3828" s="11"/>
      <c r="K3828" s="38"/>
      <c r="L3828" s="39"/>
      <c r="M3828" s="42">
        <f>IF(L3828="",I3828,(MIN(J3828,(L3828*1.6*J3828))))</f>
        <v>0</v>
      </c>
      <c r="N3828" s="43">
        <f>IF(M3828=0,0,(M3828/J3828))</f>
        <v>0</v>
      </c>
    </row>
    <row r="3829" spans="3:14">
      <c r="C3829" s="9"/>
      <c r="D3829" s="7" t="e">
        <f>SUMIF(B$3:B$3844,B3829,M$3:M$3844)/(SUMIF(B$3:B$3844,B3829,J$3:J$3844))</f>
        <v>#DIV/0!</v>
      </c>
      <c r="E3829" s="10"/>
      <c r="F3829" s="18"/>
      <c r="G3829" s="5"/>
      <c r="H3829" s="5"/>
      <c r="I3829" s="11"/>
      <c r="J3829" s="11"/>
      <c r="K3829" s="38"/>
      <c r="L3829" s="39"/>
      <c r="M3829" s="42">
        <f>IF(L3829="",I3829,(MIN(J3829,(L3829*1.6*J3829))))</f>
        <v>0</v>
      </c>
      <c r="N3829" s="43">
        <f>IF(M3829=0,0,(M3829/J3829))</f>
        <v>0</v>
      </c>
    </row>
    <row r="3830" spans="3:14">
      <c r="C3830" s="9"/>
      <c r="D3830" s="7" t="e">
        <f>SUMIF(B$3:B$3844,B3830,M$3:M$3844)/(SUMIF(B$3:B$3844,B3830,J$3:J$3844))</f>
        <v>#DIV/0!</v>
      </c>
      <c r="E3830" s="10"/>
      <c r="F3830" s="18"/>
      <c r="G3830" s="5"/>
      <c r="H3830" s="5"/>
      <c r="I3830" s="11"/>
      <c r="J3830" s="11"/>
      <c r="K3830" s="38"/>
      <c r="L3830" s="39"/>
      <c r="M3830" s="42">
        <f>IF(L3830="",I3830,(MIN(J3830,(L3830*1.6*J3830))))</f>
        <v>0</v>
      </c>
      <c r="N3830" s="43">
        <f>IF(M3830=0,0,(M3830/J3830))</f>
        <v>0</v>
      </c>
    </row>
    <row r="3831" spans="3:14">
      <c r="C3831" s="9"/>
      <c r="D3831" s="7" t="e">
        <f>SUMIF(B$3:B$3844,B3831,M$3:M$3844)/(SUMIF(B$3:B$3844,B3831,J$3:J$3844))</f>
        <v>#DIV/0!</v>
      </c>
      <c r="E3831" s="10"/>
      <c r="F3831" s="18"/>
      <c r="G3831" s="5"/>
      <c r="H3831" s="5"/>
      <c r="I3831" s="11"/>
      <c r="J3831" s="11"/>
      <c r="K3831" s="38"/>
      <c r="L3831" s="39"/>
      <c r="M3831" s="42">
        <f>IF(L3831="",I3831,(MIN(J3831,(L3831*1.6*J3831))))</f>
        <v>0</v>
      </c>
      <c r="N3831" s="43">
        <f>IF(M3831=0,0,(M3831/J3831))</f>
        <v>0</v>
      </c>
    </row>
    <row r="3832" spans="3:14">
      <c r="C3832" s="9"/>
      <c r="D3832" s="7" t="e">
        <f>SUMIF(B$3:B$3844,B3832,M$3:M$3844)/(SUMIF(B$3:B$3844,B3832,J$3:J$3844))</f>
        <v>#DIV/0!</v>
      </c>
      <c r="E3832" s="10"/>
      <c r="F3832" s="18"/>
      <c r="G3832" s="5"/>
      <c r="H3832" s="5"/>
      <c r="I3832" s="11"/>
      <c r="J3832" s="11"/>
      <c r="K3832" s="38"/>
      <c r="L3832" s="39"/>
      <c r="M3832" s="42">
        <f>IF(L3832="",I3832,(MIN(J3832,(L3832*1.6*J3832))))</f>
        <v>0</v>
      </c>
      <c r="N3832" s="43">
        <f>IF(M3832=0,0,(M3832/J3832))</f>
        <v>0</v>
      </c>
    </row>
    <row r="3833" spans="3:14">
      <c r="C3833" s="9"/>
      <c r="D3833" s="7" t="e">
        <f>SUMIF(B$3:B$3844,B3833,M$3:M$3844)/(SUMIF(B$3:B$3844,B3833,J$3:J$3844))</f>
        <v>#DIV/0!</v>
      </c>
      <c r="E3833" s="10"/>
      <c r="F3833" s="18"/>
      <c r="G3833" s="5"/>
      <c r="H3833" s="5"/>
      <c r="I3833" s="11"/>
      <c r="J3833" s="11"/>
      <c r="K3833" s="38"/>
      <c r="L3833" s="39"/>
      <c r="M3833" s="42">
        <f>IF(L3833="",I3833,(MIN(J3833,(L3833*1.6*J3833))))</f>
        <v>0</v>
      </c>
      <c r="N3833" s="43">
        <f>IF(M3833=0,0,(M3833/J3833))</f>
        <v>0</v>
      </c>
    </row>
    <row r="3834" spans="3:14">
      <c r="C3834" s="9"/>
      <c r="D3834" s="7" t="e">
        <f>SUMIF(B$3:B$3844,B3834,M$3:M$3844)/(SUMIF(B$3:B$3844,B3834,J$3:J$3844))</f>
        <v>#DIV/0!</v>
      </c>
      <c r="E3834" s="10"/>
      <c r="F3834" s="18"/>
      <c r="G3834" s="5"/>
      <c r="H3834" s="5"/>
      <c r="I3834" s="11"/>
      <c r="J3834" s="11"/>
      <c r="K3834" s="38"/>
      <c r="L3834" s="39"/>
      <c r="M3834" s="42">
        <f>IF(L3834="",I3834,(MIN(J3834,(L3834*1.6*J3834))))</f>
        <v>0</v>
      </c>
      <c r="N3834" s="43">
        <f>IF(M3834=0,0,(M3834/J3834))</f>
        <v>0</v>
      </c>
    </row>
    <row r="3835" spans="3:14">
      <c r="C3835" s="9"/>
      <c r="D3835" s="7" t="e">
        <f>SUMIF(B$3:B$3844,B3835,M$3:M$3844)/(SUMIF(B$3:B$3844,B3835,J$3:J$3844))</f>
        <v>#DIV/0!</v>
      </c>
      <c r="E3835" s="10"/>
      <c r="F3835" s="18"/>
      <c r="G3835" s="5"/>
      <c r="H3835" s="5"/>
      <c r="I3835" s="11"/>
      <c r="J3835" s="11"/>
      <c r="K3835" s="38"/>
      <c r="L3835" s="39"/>
      <c r="M3835" s="42">
        <f>IF(L3835="",I3835,(MIN(J3835,(L3835*1.6*J3835))))</f>
        <v>0</v>
      </c>
      <c r="N3835" s="43">
        <f>IF(M3835=0,0,(M3835/J3835))</f>
        <v>0</v>
      </c>
    </row>
    <row r="3836" spans="3:14">
      <c r="C3836" s="9"/>
      <c r="D3836" s="7" t="e">
        <f>SUMIF(B$3:B$3844,B3836,M$3:M$3844)/(SUMIF(B$3:B$3844,B3836,J$3:J$3844))</f>
        <v>#DIV/0!</v>
      </c>
      <c r="E3836" s="10"/>
      <c r="F3836" s="18"/>
      <c r="G3836" s="5"/>
      <c r="H3836" s="5"/>
      <c r="I3836" s="11"/>
      <c r="J3836" s="11"/>
      <c r="K3836" s="38"/>
      <c r="L3836" s="39"/>
      <c r="M3836" s="42">
        <f>IF(L3836="",I3836,(MIN(J3836,(L3836*1.6*J3836))))</f>
        <v>0</v>
      </c>
      <c r="N3836" s="43">
        <f>IF(M3836=0,0,(M3836/J3836))</f>
        <v>0</v>
      </c>
    </row>
    <row r="3837" spans="3:14">
      <c r="C3837" s="9"/>
      <c r="D3837" s="7" t="e">
        <f>SUMIF(B$3:B$3844,B3837,M$3:M$3844)/(SUMIF(B$3:B$3844,B3837,J$3:J$3844))</f>
        <v>#DIV/0!</v>
      </c>
      <c r="E3837" s="10"/>
      <c r="F3837" s="18"/>
      <c r="G3837" s="5"/>
      <c r="H3837" s="5"/>
      <c r="I3837" s="11"/>
      <c r="J3837" s="11"/>
      <c r="K3837" s="38"/>
      <c r="L3837" s="39"/>
      <c r="M3837" s="42">
        <f>IF(L3837="",I3837,(MIN(J3837,(L3837*1.6*J3837))))</f>
        <v>0</v>
      </c>
      <c r="N3837" s="43">
        <f>IF(M3837=0,0,(M3837/J3837))</f>
        <v>0</v>
      </c>
    </row>
    <row r="3838" spans="3:14">
      <c r="C3838" s="9"/>
      <c r="D3838" s="7" t="e">
        <f>SUMIF(B$3:B$3844,B3838,M$3:M$3844)/(SUMIF(B$3:B$3844,B3838,J$3:J$3844))</f>
        <v>#DIV/0!</v>
      </c>
      <c r="E3838" s="10"/>
      <c r="F3838" s="18"/>
      <c r="G3838" s="5"/>
      <c r="H3838" s="5"/>
      <c r="I3838" s="11"/>
      <c r="J3838" s="11"/>
      <c r="K3838" s="38"/>
      <c r="L3838" s="39"/>
      <c r="M3838" s="42">
        <f>IF(L3838="",I3838,(MIN(J3838,(L3838*1.6*J3838))))</f>
        <v>0</v>
      </c>
      <c r="N3838" s="43">
        <f>IF(M3838=0,0,(M3838/J3838))</f>
        <v>0</v>
      </c>
    </row>
    <row r="3839" spans="3:14">
      <c r="C3839" s="9"/>
      <c r="D3839" s="7" t="e">
        <f>SUMIF(B$3:B$3844,B3839,M$3:M$3844)/(SUMIF(B$3:B$3844,B3839,J$3:J$3844))</f>
        <v>#DIV/0!</v>
      </c>
      <c r="E3839" s="10"/>
      <c r="F3839" s="18"/>
      <c r="G3839" s="5"/>
      <c r="H3839" s="5"/>
      <c r="I3839" s="11"/>
      <c r="J3839" s="11"/>
      <c r="K3839" s="38"/>
      <c r="L3839" s="39"/>
      <c r="M3839" s="42">
        <f>IF(L3839="",I3839,(MIN(J3839,(L3839*1.6*J3839))))</f>
        <v>0</v>
      </c>
      <c r="N3839" s="43">
        <f>IF(M3839=0,0,(M3839/J3839))</f>
        <v>0</v>
      </c>
    </row>
    <row r="3840" spans="3:14">
      <c r="C3840" s="9"/>
      <c r="D3840" s="7" t="e">
        <f>SUMIF(B$3:B$3844,B3840,M$3:M$3844)/(SUMIF(B$3:B$3844,B3840,J$3:J$3844))</f>
        <v>#DIV/0!</v>
      </c>
      <c r="E3840" s="10"/>
      <c r="F3840" s="18"/>
      <c r="G3840" s="5"/>
      <c r="H3840" s="5"/>
      <c r="I3840" s="11"/>
      <c r="J3840" s="11"/>
      <c r="K3840" s="38"/>
      <c r="L3840" s="39"/>
      <c r="M3840" s="42">
        <f>IF(L3840="",I3840,(MIN(J3840,(L3840*1.6*J3840))))</f>
        <v>0</v>
      </c>
      <c r="N3840" s="43">
        <f>IF(M3840=0,0,(M3840/J3840))</f>
        <v>0</v>
      </c>
    </row>
    <row r="3841" spans="2:14">
      <c r="C3841" s="9"/>
      <c r="D3841" s="7" t="e">
        <f>SUMIF(B$3:B$3844,B3841,M$3:M$3844)/(SUMIF(B$3:B$3844,B3841,J$3:J$3844))</f>
        <v>#DIV/0!</v>
      </c>
      <c r="E3841" s="10"/>
      <c r="F3841" s="18"/>
      <c r="G3841" s="5"/>
      <c r="H3841" s="5"/>
      <c r="I3841" s="11"/>
      <c r="J3841" s="11"/>
      <c r="K3841" s="38"/>
      <c r="L3841" s="39"/>
      <c r="M3841" s="42">
        <f>IF(L3841="",I3841,(MIN(J3841,(L3841*1.6*J3841))))</f>
        <v>0</v>
      </c>
      <c r="N3841" s="43">
        <f>IF(M3841=0,0,(M3841/J3841))</f>
        <v>0</v>
      </c>
    </row>
    <row r="3842" spans="2:14">
      <c r="C3842" s="9"/>
      <c r="D3842" s="7" t="e">
        <f>SUMIF(B$3:B$3844,B3842,M$3:M$3844)/(SUMIF(B$3:B$3844,B3842,J$3:J$3844))</f>
        <v>#DIV/0!</v>
      </c>
      <c r="E3842" s="10"/>
      <c r="F3842" s="18"/>
      <c r="G3842" s="5"/>
      <c r="H3842" s="5"/>
      <c r="I3842" s="11"/>
      <c r="J3842" s="11"/>
      <c r="K3842" s="38"/>
      <c r="L3842" s="39"/>
      <c r="M3842" s="42">
        <f>IF(L3842="",I3842,(MIN(J3842,(L3842*1.6*J3842))))</f>
        <v>0</v>
      </c>
      <c r="N3842" s="43">
        <f>IF(M3842=0,0,(M3842/J3842))</f>
        <v>0</v>
      </c>
    </row>
    <row r="3843" spans="2:14">
      <c r="C3843" s="9"/>
      <c r="D3843" s="7" t="e">
        <f>SUMIF(B$3:B$3844,B3843,M$3:M$3844)/(SUMIF(B$3:B$3844,B3843,J$3:J$3844))</f>
        <v>#DIV/0!</v>
      </c>
      <c r="E3843" s="10"/>
      <c r="F3843" s="18"/>
      <c r="G3843" s="5"/>
      <c r="H3843" s="5"/>
      <c r="I3843" s="11"/>
      <c r="J3843" s="11"/>
      <c r="K3843" s="38"/>
      <c r="L3843" s="39"/>
      <c r="M3843" s="42">
        <f>IF(L3843="",I3843,(MIN(J3843,(L3843*1.6*J3843))))</f>
        <v>0</v>
      </c>
      <c r="N3843" s="43">
        <f>IF(M3843=0,0,(M3843/J3843))</f>
        <v>0</v>
      </c>
    </row>
    <row r="3844" spans="2:14">
      <c r="B3844" s="12"/>
      <c r="C3844" s="13"/>
      <c r="D3844" s="14" t="e">
        <f>SUMIF(B$3:B$3844,B3844,M$3:M$3844)/(SUMIF(B$3:B$3844,B3844,J$3:J$3844))</f>
        <v>#DIV/0!</v>
      </c>
      <c r="E3844" s="15"/>
      <c r="F3844" s="19"/>
      <c r="G3844" s="6"/>
      <c r="H3844" s="6"/>
      <c r="I3844" s="16"/>
      <c r="J3844" s="16"/>
      <c r="K3844" s="50"/>
      <c r="L3844" s="51"/>
      <c r="M3844" s="53">
        <f>IF(L3844="",I3844,(MIN(J3844,(L3844*1.6*J3844))))</f>
        <v>0</v>
      </c>
      <c r="N3844" s="54">
        <f>IF(M3844=0,0,(M3844/J3844))</f>
        <v>0</v>
      </c>
    </row>
    <row r="3845" spans="2:14" hidden="1"/>
    <row r="3846" spans="2:14"/>
    <row r="3847" spans="2:14"/>
    <row r="3848" spans="2:14"/>
    <row r="3849" spans="2:14"/>
    <row r="3850" spans="2:14"/>
    <row r="3851" spans="2:14"/>
    <row r="3852" spans="2:14"/>
    <row r="3853" spans="2:14"/>
    <row r="3854" spans="2:14"/>
    <row r="3855" spans="2:14"/>
    <row r="3856" spans="2:14"/>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sheetData>
  <phoneticPr fontId="57" type="noConversion"/>
  <conditionalFormatting sqref="F1310">
    <cfRule type="expression" dxfId="3" priority="4">
      <formula>IF(COUNTBLANK(F1310)=1,1,0)</formula>
    </cfRule>
  </conditionalFormatting>
  <conditionalFormatting sqref="E3048:E3137">
    <cfRule type="cellIs" dxfId="2" priority="1" operator="lessThan">
      <formula>1</formula>
    </cfRule>
  </conditionalFormatting>
  <conditionalFormatting sqref="J3048:J3083 J3097:J3137">
    <cfRule type="cellIs" dxfId="1" priority="2" operator="lessThan">
      <formula>1</formula>
    </cfRule>
    <cfRule type="cellIs" dxfId="0" priority="3" operator="lessThan">
      <formula>1</formula>
    </cfRule>
  </conditionalFormatting>
  <pageMargins left="0.7" right="0.7" top="0.75" bottom="0.75" header="0.3" footer="0.3"/>
  <pageSetup orientation="portrait" horizontalDpi="4294967292" verticalDpi="4294967292"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2"/>
  <sheetViews>
    <sheetView showGridLines="0" zoomScale="132" zoomScaleNormal="132" zoomScalePageLayoutView="132" workbookViewId="0">
      <selection activeCell="C27" sqref="C27"/>
    </sheetView>
  </sheetViews>
  <sheetFormatPr defaultColWidth="11.42578125" defaultRowHeight="15"/>
  <cols>
    <col min="1" max="1" width="6.7109375" customWidth="1"/>
    <col min="2" max="2" width="11.42578125" hidden="1" customWidth="1"/>
    <col min="3" max="3" width="15.140625" customWidth="1"/>
    <col min="4" max="4" width="8.42578125" style="3" customWidth="1"/>
    <col min="5" max="5" width="8.42578125" customWidth="1"/>
    <col min="6" max="6" width="5.28515625" style="29" customWidth="1"/>
    <col min="7" max="7" width="21" customWidth="1"/>
    <col min="8" max="8" width="21.140625" customWidth="1"/>
    <col min="9" max="9" width="20.42578125" customWidth="1"/>
    <col min="10" max="10" width="21.140625" customWidth="1"/>
    <col min="11" max="11" width="20.42578125" customWidth="1"/>
  </cols>
  <sheetData>
    <row r="1" spans="3:14">
      <c r="G1" s="36"/>
      <c r="H1" s="30"/>
    </row>
    <row r="2" spans="3:14">
      <c r="G2" s="36"/>
      <c r="H2" s="30"/>
    </row>
    <row r="3" spans="3:14" s="1" customFormat="1" ht="30" customHeight="1">
      <c r="C3" s="86" t="s">
        <v>2418</v>
      </c>
      <c r="D3"/>
      <c r="E3"/>
      <c r="F3" s="30"/>
      <c r="G3" s="88" t="s">
        <v>2423</v>
      </c>
      <c r="H3" s="89"/>
      <c r="I3" s="89"/>
      <c r="J3" s="89"/>
      <c r="K3" s="89"/>
    </row>
    <row r="4" spans="3:14" ht="47.25" customHeight="1" thickBot="1">
      <c r="C4" s="67" t="s">
        <v>0</v>
      </c>
      <c r="D4" t="s">
        <v>2395</v>
      </c>
      <c r="F4" s="30"/>
      <c r="G4" s="28" t="s">
        <v>2407</v>
      </c>
      <c r="H4" s="31" t="s">
        <v>2408</v>
      </c>
      <c r="I4" s="31" t="s">
        <v>2409</v>
      </c>
      <c r="J4" s="31" t="s">
        <v>2410</v>
      </c>
      <c r="K4" s="31" t="s">
        <v>2411</v>
      </c>
    </row>
    <row r="5" spans="3:14" ht="15.75" thickBot="1">
      <c r="C5" s="70" t="s">
        <v>1642</v>
      </c>
      <c r="D5" s="68">
        <v>0.64099779280383984</v>
      </c>
      <c r="F5" s="30"/>
      <c r="G5" s="25" t="s">
        <v>2412</v>
      </c>
      <c r="H5" s="32">
        <v>0.2</v>
      </c>
      <c r="I5" s="32">
        <v>0.25</v>
      </c>
      <c r="J5" s="32">
        <v>0.2</v>
      </c>
      <c r="K5" s="32">
        <v>0.25</v>
      </c>
    </row>
    <row r="6" spans="3:14" ht="15.75" thickBot="1">
      <c r="C6" s="70" t="s">
        <v>2396</v>
      </c>
      <c r="D6" s="68">
        <v>0.72655641671665661</v>
      </c>
      <c r="F6" s="30"/>
      <c r="G6" s="26" t="s">
        <v>2413</v>
      </c>
      <c r="H6" s="33">
        <v>0.4</v>
      </c>
      <c r="I6" s="33">
        <v>0.5</v>
      </c>
      <c r="J6" s="33">
        <v>0.4</v>
      </c>
      <c r="K6" s="33">
        <v>0.5</v>
      </c>
    </row>
    <row r="7" spans="3:14" ht="15.75" thickBot="1">
      <c r="C7" s="70" t="s">
        <v>1697</v>
      </c>
      <c r="D7" s="68">
        <v>0.52968230382792048</v>
      </c>
      <c r="F7" s="30"/>
      <c r="G7" s="25" t="s">
        <v>2414</v>
      </c>
      <c r="H7" s="32">
        <v>0.5</v>
      </c>
      <c r="I7" s="32">
        <v>0.6</v>
      </c>
      <c r="J7" s="32">
        <v>0.5</v>
      </c>
      <c r="K7" s="32">
        <v>0.6</v>
      </c>
    </row>
    <row r="8" spans="3:14" ht="15.75" thickBot="1">
      <c r="C8" s="70" t="s">
        <v>1719</v>
      </c>
      <c r="D8" s="68">
        <v>1</v>
      </c>
      <c r="F8" s="30"/>
      <c r="G8" s="26" t="s">
        <v>2415</v>
      </c>
      <c r="H8" s="33">
        <v>0.6</v>
      </c>
      <c r="I8" s="33">
        <v>0.7</v>
      </c>
      <c r="J8" s="33">
        <v>0.6</v>
      </c>
      <c r="K8" s="33">
        <v>0.7</v>
      </c>
    </row>
    <row r="9" spans="3:14" ht="15.75" thickBot="1">
      <c r="C9" s="70" t="s">
        <v>1722</v>
      </c>
      <c r="D9" s="68">
        <v>0.51089833179696098</v>
      </c>
      <c r="F9" s="30"/>
      <c r="G9" s="25" t="s">
        <v>2416</v>
      </c>
      <c r="H9" s="32">
        <v>0.8</v>
      </c>
      <c r="I9" s="32">
        <v>0.8</v>
      </c>
      <c r="J9" s="32">
        <v>0.8</v>
      </c>
      <c r="K9" s="32">
        <v>0.8</v>
      </c>
    </row>
    <row r="10" spans="3:14">
      <c r="C10" s="70" t="s">
        <v>7</v>
      </c>
      <c r="D10" s="68">
        <v>0.63185358674778802</v>
      </c>
      <c r="F10" s="30"/>
      <c r="G10" s="27" t="s">
        <v>2417</v>
      </c>
      <c r="H10" s="34">
        <v>0.9</v>
      </c>
      <c r="I10" s="34">
        <v>0.9</v>
      </c>
      <c r="J10" s="35">
        <v>0.85</v>
      </c>
      <c r="K10" s="35">
        <v>0.85</v>
      </c>
    </row>
    <row r="11" spans="3:14">
      <c r="C11" s="70" t="s">
        <v>1806</v>
      </c>
      <c r="D11" s="68">
        <v>0.86165660754888584</v>
      </c>
      <c r="F11" s="30"/>
      <c r="G11" s="87" t="s">
        <v>2422</v>
      </c>
      <c r="H11" s="87"/>
      <c r="I11" s="87"/>
      <c r="J11" s="87"/>
      <c r="K11" s="87"/>
      <c r="L11" s="37"/>
      <c r="M11" s="37"/>
      <c r="N11" s="37"/>
    </row>
    <row r="12" spans="3:14" ht="15" customHeight="1">
      <c r="C12" s="70" t="s">
        <v>1814</v>
      </c>
      <c r="D12" s="68">
        <v>0.65461410469729941</v>
      </c>
      <c r="F12" s="30"/>
      <c r="G12" s="87"/>
      <c r="H12" s="87"/>
      <c r="I12" s="87"/>
      <c r="J12" s="87"/>
      <c r="K12" s="87"/>
    </row>
    <row r="13" spans="3:14">
      <c r="C13" s="70" t="s">
        <v>1835</v>
      </c>
      <c r="D13" s="68">
        <v>0.66710875331564989</v>
      </c>
      <c r="F13" s="30"/>
      <c r="G13" s="90"/>
      <c r="H13" s="90"/>
      <c r="I13" s="90"/>
      <c r="J13" s="90"/>
      <c r="K13" s="90"/>
      <c r="L13" s="90"/>
      <c r="M13" s="90"/>
      <c r="N13" s="90"/>
    </row>
    <row r="14" spans="3:14">
      <c r="C14" s="70" t="s">
        <v>1857</v>
      </c>
      <c r="D14" s="68">
        <v>0.45828027241016556</v>
      </c>
      <c r="F14" s="30"/>
    </row>
    <row r="15" spans="3:14">
      <c r="C15" s="70" t="s">
        <v>1902</v>
      </c>
      <c r="D15" s="68">
        <v>0.6301097610551516</v>
      </c>
      <c r="F15" s="30"/>
    </row>
    <row r="16" spans="3:14">
      <c r="C16" s="70" t="s">
        <v>265</v>
      </c>
      <c r="D16" s="68">
        <v>0.82485060787141973</v>
      </c>
      <c r="F16" s="30"/>
    </row>
    <row r="17" spans="3:6">
      <c r="C17" s="70" t="s">
        <v>268</v>
      </c>
      <c r="D17" s="68">
        <v>0.76143103246416566</v>
      </c>
      <c r="F17" s="30"/>
    </row>
    <row r="18" spans="3:6">
      <c r="C18" s="70" t="s">
        <v>1554</v>
      </c>
      <c r="D18" s="68">
        <v>0.97690881188118817</v>
      </c>
      <c r="F18" s="30"/>
    </row>
    <row r="19" spans="3:6">
      <c r="C19" s="70" t="s">
        <v>1960</v>
      </c>
      <c r="D19" s="68">
        <v>1</v>
      </c>
      <c r="F19" s="30"/>
    </row>
    <row r="20" spans="3:6">
      <c r="C20" s="70" t="s">
        <v>620</v>
      </c>
      <c r="D20" s="68">
        <v>0.72335604859089875</v>
      </c>
      <c r="F20" s="30"/>
    </row>
    <row r="21" spans="3:6">
      <c r="C21" s="70" t="s">
        <v>778</v>
      </c>
      <c r="D21" s="68">
        <v>0.71662478105247129</v>
      </c>
      <c r="F21" s="30"/>
    </row>
    <row r="22" spans="3:6">
      <c r="C22" s="70" t="s">
        <v>1961</v>
      </c>
      <c r="D22" s="68">
        <v>0.60633408540152089</v>
      </c>
      <c r="F22" s="30"/>
    </row>
    <row r="23" spans="3:6">
      <c r="C23" s="70" t="s">
        <v>1972</v>
      </c>
      <c r="D23" s="68">
        <v>1</v>
      </c>
      <c r="F23" s="30"/>
    </row>
    <row r="24" spans="3:6">
      <c r="C24" s="70" t="s">
        <v>1974</v>
      </c>
      <c r="D24" s="68">
        <v>1</v>
      </c>
      <c r="F24" s="30"/>
    </row>
    <row r="25" spans="3:6">
      <c r="C25" s="70" t="s">
        <v>1992</v>
      </c>
      <c r="D25" s="68">
        <v>1</v>
      </c>
      <c r="F25" s="30"/>
    </row>
    <row r="26" spans="3:6">
      <c r="C26" s="70" t="s">
        <v>2397</v>
      </c>
      <c r="D26" s="68">
        <v>0.82464000000000004</v>
      </c>
      <c r="F26" s="30"/>
    </row>
    <row r="27" spans="3:6">
      <c r="C27" s="70" t="s">
        <v>1998</v>
      </c>
      <c r="D27" s="68">
        <v>0.60865087538619977</v>
      </c>
      <c r="F27" s="30"/>
    </row>
    <row r="28" spans="3:6">
      <c r="C28" s="70" t="s">
        <v>2004</v>
      </c>
      <c r="D28" s="68">
        <v>1</v>
      </c>
      <c r="F28" s="30"/>
    </row>
    <row r="29" spans="3:6">
      <c r="C29" s="70" t="s">
        <v>2011</v>
      </c>
      <c r="D29" s="68">
        <v>1</v>
      </c>
      <c r="F29" s="30"/>
    </row>
    <row r="30" spans="3:6">
      <c r="C30" s="70" t="s">
        <v>2021</v>
      </c>
      <c r="D30" s="68">
        <v>0.85454716008316001</v>
      </c>
      <c r="F30" s="30"/>
    </row>
    <row r="31" spans="3:6">
      <c r="C31" s="70" t="s">
        <v>1555</v>
      </c>
      <c r="D31" s="68">
        <v>0.68063164679342569</v>
      </c>
      <c r="F31" s="30"/>
    </row>
    <row r="32" spans="3:6">
      <c r="C32" s="71" t="s">
        <v>2034</v>
      </c>
      <c r="D32" s="68">
        <v>0.7605964826971392</v>
      </c>
      <c r="F32" s="30"/>
    </row>
    <row r="33" spans="3:6">
      <c r="C33" s="100" t="s">
        <v>2705</v>
      </c>
      <c r="D33" s="68">
        <v>1</v>
      </c>
      <c r="F33" s="30"/>
    </row>
    <row r="34" spans="3:6">
      <c r="C34" s="71" t="s">
        <v>2398</v>
      </c>
      <c r="D34" s="68">
        <v>0.88512000000000024</v>
      </c>
      <c r="F34" s="30"/>
    </row>
    <row r="35" spans="3:6">
      <c r="C35" s="101" t="s">
        <v>2476</v>
      </c>
      <c r="D35" s="68">
        <v>0.6421</v>
      </c>
      <c r="F35" s="30"/>
    </row>
    <row r="36" spans="3:6">
      <c r="C36" s="70" t="s">
        <v>2055</v>
      </c>
      <c r="D36" s="68">
        <v>0.69944314185228607</v>
      </c>
      <c r="F36" s="30"/>
    </row>
    <row r="37" spans="3:6">
      <c r="C37" s="70" t="s">
        <v>837</v>
      </c>
      <c r="D37" s="68">
        <v>1</v>
      </c>
      <c r="F37" s="30"/>
    </row>
    <row r="38" spans="3:6">
      <c r="C38" s="70" t="s">
        <v>2399</v>
      </c>
      <c r="D38" s="68">
        <v>0.77830940988835728</v>
      </c>
      <c r="F38" s="30"/>
    </row>
    <row r="39" spans="3:6">
      <c r="C39" s="70" t="s">
        <v>2073</v>
      </c>
      <c r="D39" s="68">
        <v>0.61815783688722792</v>
      </c>
      <c r="F39" s="30"/>
    </row>
    <row r="40" spans="3:6">
      <c r="C40" s="70" t="s">
        <v>2400</v>
      </c>
      <c r="D40" s="68">
        <v>0.92942971581155831</v>
      </c>
      <c r="F40" s="30"/>
    </row>
    <row r="41" spans="3:6">
      <c r="C41" s="70" t="s">
        <v>843</v>
      </c>
      <c r="D41" s="68">
        <v>0.62088482218658614</v>
      </c>
      <c r="F41" s="30"/>
    </row>
    <row r="42" spans="3:6">
      <c r="C42" s="70" t="s">
        <v>891</v>
      </c>
      <c r="D42" s="68">
        <v>1</v>
      </c>
      <c r="F42" s="30"/>
    </row>
    <row r="43" spans="3:6">
      <c r="C43" s="70" t="s">
        <v>2120</v>
      </c>
      <c r="D43" s="68">
        <v>0.7856029756795424</v>
      </c>
      <c r="F43" s="30"/>
    </row>
    <row r="44" spans="3:6">
      <c r="C44" s="70" t="s">
        <v>2128</v>
      </c>
      <c r="D44" s="68">
        <v>0.93598686910135409</v>
      </c>
      <c r="F44" s="30"/>
    </row>
    <row r="45" spans="3:6">
      <c r="C45" s="70" t="s">
        <v>2401</v>
      </c>
      <c r="D45" s="68">
        <v>0.64425696034711344</v>
      </c>
      <c r="F45" s="30"/>
    </row>
    <row r="46" spans="3:6">
      <c r="C46" s="70" t="s">
        <v>927</v>
      </c>
      <c r="D46" s="68">
        <v>0.8240543389155639</v>
      </c>
      <c r="F46" s="30"/>
    </row>
    <row r="47" spans="3:6">
      <c r="C47" s="70" t="s">
        <v>928</v>
      </c>
      <c r="D47" s="68">
        <v>0.49710982658959535</v>
      </c>
      <c r="F47" s="30"/>
    </row>
    <row r="48" spans="3:6">
      <c r="C48" s="70" t="s">
        <v>2402</v>
      </c>
      <c r="D48" s="68">
        <v>0.47853924590941427</v>
      </c>
      <c r="F48" s="30"/>
    </row>
    <row r="49" spans="3:6">
      <c r="C49" s="70" t="s">
        <v>956</v>
      </c>
      <c r="D49" s="68">
        <v>0.51081868762695404</v>
      </c>
      <c r="F49" s="30"/>
    </row>
    <row r="50" spans="3:6">
      <c r="C50" s="70" t="s">
        <v>2163</v>
      </c>
      <c r="D50" s="68">
        <v>0.45434028362582951</v>
      </c>
      <c r="F50" s="30"/>
    </row>
    <row r="51" spans="3:6">
      <c r="C51" s="70" t="s">
        <v>1504</v>
      </c>
      <c r="D51" s="68">
        <v>0.78970775095298607</v>
      </c>
      <c r="F51" s="30"/>
    </row>
    <row r="52" spans="3:6">
      <c r="C52" s="70" t="s">
        <v>2403</v>
      </c>
      <c r="D52" s="68">
        <v>0.38094301842471529</v>
      </c>
      <c r="F52" s="30"/>
    </row>
    <row r="53" spans="3:6">
      <c r="C53" s="70" t="s">
        <v>972</v>
      </c>
      <c r="D53" s="68">
        <v>0.77847489432681916</v>
      </c>
      <c r="F53" s="30"/>
    </row>
    <row r="54" spans="3:6">
      <c r="C54" s="70" t="s">
        <v>2404</v>
      </c>
      <c r="D54" s="68">
        <v>0.61922547211652934</v>
      </c>
      <c r="F54" s="30"/>
    </row>
    <row r="55" spans="3:6">
      <c r="C55" s="70" t="s">
        <v>1620</v>
      </c>
      <c r="D55" s="68">
        <v>0.5620239312301113</v>
      </c>
      <c r="F55" s="30"/>
    </row>
    <row r="56" spans="3:6">
      <c r="C56" s="71" t="s">
        <v>2405</v>
      </c>
      <c r="D56" s="68">
        <v>0.6210093385794162</v>
      </c>
      <c r="F56" s="30"/>
    </row>
    <row r="57" spans="3:6">
      <c r="C57" s="70" t="s">
        <v>2448</v>
      </c>
      <c r="D57" s="68">
        <v>0.82795063940702129</v>
      </c>
      <c r="F57" s="30"/>
    </row>
    <row r="58" spans="3:6">
      <c r="C58" s="70" t="s">
        <v>2287</v>
      </c>
      <c r="D58" s="68">
        <v>1</v>
      </c>
      <c r="F58" s="30"/>
    </row>
    <row r="59" spans="3:6">
      <c r="C59" s="70" t="s">
        <v>1513</v>
      </c>
      <c r="D59" s="68">
        <v>0.44508021990351171</v>
      </c>
      <c r="F59" s="30"/>
    </row>
    <row r="60" spans="3:6">
      <c r="C60" s="70" t="s">
        <v>2312</v>
      </c>
      <c r="D60" s="68">
        <v>0.49315412286327764</v>
      </c>
      <c r="F60" s="30"/>
    </row>
    <row r="61" spans="3:6">
      <c r="C61" s="70" t="s">
        <v>1371</v>
      </c>
      <c r="D61" s="68">
        <v>0.48503479391297699</v>
      </c>
      <c r="F61" s="30"/>
    </row>
    <row r="62" spans="3:6">
      <c r="C62" s="70" t="s">
        <v>2288</v>
      </c>
      <c r="D62" s="68">
        <v>0.2378478459115152</v>
      </c>
      <c r="F62" s="30"/>
    </row>
    <row r="63" spans="3:6">
      <c r="C63" s="70" t="s">
        <v>2406</v>
      </c>
      <c r="D63" s="68">
        <v>0.73046589153589725</v>
      </c>
      <c r="F63" s="30"/>
    </row>
    <row r="64" spans="3:6">
      <c r="C64" s="70" t="s">
        <v>2313</v>
      </c>
      <c r="D64" s="68">
        <v>0.76375217139548346</v>
      </c>
      <c r="F64" s="30"/>
    </row>
    <row r="65" spans="3:6">
      <c r="C65" s="70" t="s">
        <v>2314</v>
      </c>
      <c r="D65" s="68">
        <v>0.99370756747805933</v>
      </c>
      <c r="F65" s="30"/>
    </row>
    <row r="66" spans="3:6">
      <c r="C66" s="70" t="s">
        <v>2315</v>
      </c>
      <c r="D66" s="68">
        <v>0.9487067118644068</v>
      </c>
      <c r="F66" s="30"/>
    </row>
    <row r="67" spans="3:6">
      <c r="C67" s="70" t="s">
        <v>1629</v>
      </c>
      <c r="D67" s="68">
        <v>0.99058219178082196</v>
      </c>
      <c r="F67" s="30"/>
    </row>
    <row r="68" spans="3:6">
      <c r="C68" s="70" t="s">
        <v>1470</v>
      </c>
      <c r="D68" s="68">
        <v>0.65734639061744049</v>
      </c>
      <c r="F68" s="30"/>
    </row>
    <row r="69" spans="3:6">
      <c r="C69" s="70" t="s">
        <v>1632</v>
      </c>
      <c r="D69" s="68">
        <v>0.66779170684667311</v>
      </c>
      <c r="F69" s="30"/>
    </row>
    <row r="70" spans="3:6">
      <c r="C70" s="70" t="s">
        <v>2378</v>
      </c>
      <c r="D70" s="68">
        <v>0.56067047248876478</v>
      </c>
      <c r="F70" s="30"/>
    </row>
    <row r="71" spans="3:6">
      <c r="C71" s="71" t="s">
        <v>1492</v>
      </c>
      <c r="D71" s="69">
        <v>0.72941176470588232</v>
      </c>
      <c r="F71" s="30"/>
    </row>
    <row r="72" spans="3:6">
      <c r="F72" s="30"/>
    </row>
    <row r="73" spans="3:6">
      <c r="F73" s="30"/>
    </row>
    <row r="74" spans="3:6">
      <c r="F74" s="30"/>
    </row>
    <row r="75" spans="3:6">
      <c r="F75" s="30"/>
    </row>
    <row r="76" spans="3:6">
      <c r="F76" s="30"/>
    </row>
    <row r="77" spans="3:6">
      <c r="F77" s="30"/>
    </row>
    <row r="78" spans="3:6">
      <c r="F78" s="30"/>
    </row>
    <row r="79" spans="3:6">
      <c r="F79" s="30"/>
    </row>
    <row r="80" spans="3:6">
      <c r="F80" s="30"/>
    </row>
    <row r="81" spans="6:6">
      <c r="F81" s="30"/>
    </row>
    <row r="82" spans="6:6">
      <c r="F82" s="30"/>
    </row>
    <row r="83" spans="6:6">
      <c r="F83" s="30"/>
    </row>
    <row r="84" spans="6:6">
      <c r="F84" s="30"/>
    </row>
    <row r="85" spans="6:6">
      <c r="F85" s="30"/>
    </row>
    <row r="86" spans="6:6">
      <c r="F86" s="30"/>
    </row>
    <row r="87" spans="6:6">
      <c r="F87" s="30"/>
    </row>
    <row r="88" spans="6:6">
      <c r="F88" s="30"/>
    </row>
    <row r="89" spans="6:6">
      <c r="F89" s="30"/>
    </row>
    <row r="90" spans="6:6">
      <c r="F90" s="30"/>
    </row>
    <row r="91" spans="6:6">
      <c r="F91" s="30"/>
    </row>
    <row r="92" spans="6:6">
      <c r="F92" s="30"/>
    </row>
    <row r="93" spans="6:6">
      <c r="F93" s="30"/>
    </row>
    <row r="94" spans="6:6">
      <c r="F94" s="30"/>
    </row>
    <row r="95" spans="6:6">
      <c r="F95" s="30"/>
    </row>
    <row r="96" spans="6:6">
      <c r="F96" s="30"/>
    </row>
    <row r="97" spans="6:6">
      <c r="F97" s="30"/>
    </row>
    <row r="98" spans="6:6">
      <c r="F98" s="30"/>
    </row>
    <row r="99" spans="6:6">
      <c r="F99" s="30"/>
    </row>
    <row r="100" spans="6:6">
      <c r="F100" s="30"/>
    </row>
    <row r="101" spans="6:6">
      <c r="F101" s="30"/>
    </row>
    <row r="102" spans="6:6">
      <c r="F102" s="30"/>
    </row>
    <row r="103" spans="6:6">
      <c r="F103" s="30"/>
    </row>
    <row r="104" spans="6:6">
      <c r="F104" s="30"/>
    </row>
    <row r="105" spans="6:6">
      <c r="F105" s="30"/>
    </row>
    <row r="106" spans="6:6">
      <c r="F106" s="30"/>
    </row>
    <row r="107" spans="6:6">
      <c r="F107" s="30"/>
    </row>
    <row r="108" spans="6:6">
      <c r="F108" s="30"/>
    </row>
    <row r="109" spans="6:6">
      <c r="F109" s="30"/>
    </row>
    <row r="110" spans="6:6">
      <c r="F110" s="30"/>
    </row>
    <row r="111" spans="6:6">
      <c r="F111" s="30"/>
    </row>
    <row r="112" spans="6:6">
      <c r="F112" s="30"/>
    </row>
    <row r="113" spans="6:6">
      <c r="F113" s="30"/>
    </row>
    <row r="114" spans="6:6">
      <c r="F114" s="30"/>
    </row>
    <row r="115" spans="6:6">
      <c r="F115" s="30"/>
    </row>
    <row r="116" spans="6:6">
      <c r="F116" s="30"/>
    </row>
    <row r="117" spans="6:6">
      <c r="F117" s="30"/>
    </row>
    <row r="118" spans="6:6">
      <c r="F118" s="30"/>
    </row>
    <row r="119" spans="6:6">
      <c r="F119" s="30"/>
    </row>
    <row r="120" spans="6:6">
      <c r="F120" s="30"/>
    </row>
    <row r="121" spans="6:6">
      <c r="F121" s="30"/>
    </row>
    <row r="122" spans="6:6">
      <c r="F122" s="30"/>
    </row>
    <row r="123" spans="6:6">
      <c r="F123" s="30"/>
    </row>
    <row r="124" spans="6:6">
      <c r="F124" s="30"/>
    </row>
    <row r="125" spans="6:6">
      <c r="F125" s="30"/>
    </row>
    <row r="126" spans="6:6">
      <c r="F126" s="30"/>
    </row>
    <row r="127" spans="6:6">
      <c r="F127" s="30"/>
    </row>
    <row r="128" spans="6:6">
      <c r="F128" s="30"/>
    </row>
    <row r="129" spans="6:6">
      <c r="F129" s="30"/>
    </row>
    <row r="130" spans="6:6">
      <c r="F130" s="30"/>
    </row>
    <row r="131" spans="6:6">
      <c r="F131" s="30"/>
    </row>
    <row r="132" spans="6:6">
      <c r="F132" s="30"/>
    </row>
    <row r="133" spans="6:6">
      <c r="F133" s="30"/>
    </row>
    <row r="134" spans="6:6">
      <c r="F134" s="30"/>
    </row>
    <row r="135" spans="6:6">
      <c r="F135" s="30"/>
    </row>
    <row r="136" spans="6:6">
      <c r="F136" s="30"/>
    </row>
    <row r="137" spans="6:6">
      <c r="F137" s="30"/>
    </row>
    <row r="138" spans="6:6">
      <c r="F138" s="30"/>
    </row>
    <row r="139" spans="6:6">
      <c r="F139" s="30"/>
    </row>
    <row r="140" spans="6:6">
      <c r="F140" s="30"/>
    </row>
    <row r="141" spans="6:6">
      <c r="F141" s="30"/>
    </row>
    <row r="142" spans="6:6">
      <c r="F142" s="30"/>
    </row>
    <row r="143" spans="6:6">
      <c r="F143" s="30"/>
    </row>
    <row r="144" spans="6:6">
      <c r="F144" s="30"/>
    </row>
    <row r="145" spans="6:6">
      <c r="F145" s="30"/>
    </row>
    <row r="146" spans="6:6">
      <c r="F146" s="30"/>
    </row>
    <row r="147" spans="6:6">
      <c r="F147" s="30"/>
    </row>
    <row r="148" spans="6:6">
      <c r="F148" s="30"/>
    </row>
    <row r="149" spans="6:6">
      <c r="F149" s="30"/>
    </row>
    <row r="150" spans="6:6">
      <c r="F150" s="30"/>
    </row>
    <row r="151" spans="6:6">
      <c r="F151" s="30"/>
    </row>
    <row r="152" spans="6:6">
      <c r="F152" s="30"/>
    </row>
    <row r="153" spans="6:6">
      <c r="F153" s="30"/>
    </row>
    <row r="154" spans="6:6">
      <c r="F154" s="30"/>
    </row>
    <row r="155" spans="6:6">
      <c r="F155" s="30"/>
    </row>
    <row r="156" spans="6:6">
      <c r="F156" s="30"/>
    </row>
    <row r="157" spans="6:6">
      <c r="F157" s="30"/>
    </row>
    <row r="158" spans="6:6">
      <c r="F158" s="30"/>
    </row>
    <row r="159" spans="6:6">
      <c r="F159" s="30"/>
    </row>
    <row r="160" spans="6:6">
      <c r="F160" s="30"/>
    </row>
    <row r="161" spans="6:6">
      <c r="F161" s="30"/>
    </row>
    <row r="162" spans="6:6">
      <c r="F162" s="30"/>
    </row>
    <row r="163" spans="6:6">
      <c r="F163" s="30"/>
    </row>
    <row r="164" spans="6:6">
      <c r="F164" s="30"/>
    </row>
    <row r="165" spans="6:6">
      <c r="F165" s="30"/>
    </row>
    <row r="166" spans="6:6">
      <c r="F166" s="30"/>
    </row>
    <row r="167" spans="6:6">
      <c r="F167" s="30"/>
    </row>
    <row r="168" spans="6:6">
      <c r="F168" s="30"/>
    </row>
    <row r="169" spans="6:6">
      <c r="F169" s="30"/>
    </row>
    <row r="170" spans="6:6">
      <c r="F170" s="30"/>
    </row>
    <row r="171" spans="6:6">
      <c r="F171" s="30"/>
    </row>
    <row r="172" spans="6:6">
      <c r="F172" s="30"/>
    </row>
    <row r="173" spans="6:6">
      <c r="F173" s="30"/>
    </row>
    <row r="174" spans="6:6">
      <c r="F174" s="30"/>
    </row>
    <row r="175" spans="6:6">
      <c r="F175" s="30"/>
    </row>
    <row r="176" spans="6:6">
      <c r="F176" s="30"/>
    </row>
    <row r="177" spans="6:6">
      <c r="F177" s="30"/>
    </row>
    <row r="178" spans="6:6">
      <c r="F178" s="30"/>
    </row>
    <row r="179" spans="6:6">
      <c r="F179" s="30"/>
    </row>
    <row r="180" spans="6:6">
      <c r="F180" s="30"/>
    </row>
    <row r="181" spans="6:6">
      <c r="F181" s="30"/>
    </row>
    <row r="182" spans="6:6">
      <c r="F182" s="30"/>
    </row>
    <row r="183" spans="6:6">
      <c r="F183" s="30"/>
    </row>
    <row r="184" spans="6:6">
      <c r="F184" s="30"/>
    </row>
    <row r="185" spans="6:6">
      <c r="F185" s="30"/>
    </row>
    <row r="186" spans="6:6">
      <c r="F186" s="30"/>
    </row>
    <row r="187" spans="6:6">
      <c r="F187" s="30"/>
    </row>
    <row r="188" spans="6:6">
      <c r="F188" s="30"/>
    </row>
    <row r="189" spans="6:6">
      <c r="F189" s="30"/>
    </row>
    <row r="190" spans="6:6">
      <c r="F190" s="30"/>
    </row>
    <row r="191" spans="6:6">
      <c r="F191" s="30"/>
    </row>
    <row r="192" spans="6:6">
      <c r="F192" s="30"/>
    </row>
    <row r="193" spans="6:6">
      <c r="F193" s="30"/>
    </row>
    <row r="194" spans="6:6">
      <c r="F194" s="30"/>
    </row>
    <row r="195" spans="6:6">
      <c r="F195" s="30"/>
    </row>
    <row r="196" spans="6:6">
      <c r="F196" s="30"/>
    </row>
    <row r="197" spans="6:6">
      <c r="F197" s="30"/>
    </row>
    <row r="198" spans="6:6">
      <c r="F198" s="30"/>
    </row>
    <row r="199" spans="6:6">
      <c r="F199" s="30"/>
    </row>
    <row r="200" spans="6:6">
      <c r="F200" s="30"/>
    </row>
    <row r="201" spans="6:6">
      <c r="F201" s="30"/>
    </row>
    <row r="202" spans="6:6">
      <c r="F202" s="30"/>
    </row>
    <row r="203" spans="6:6">
      <c r="F203" s="30"/>
    </row>
    <row r="204" spans="6:6">
      <c r="F204" s="30"/>
    </row>
    <row r="205" spans="6:6">
      <c r="F205" s="30"/>
    </row>
    <row r="206" spans="6:6">
      <c r="F206" s="30"/>
    </row>
    <row r="207" spans="6:6">
      <c r="F207" s="30"/>
    </row>
    <row r="208" spans="6:6">
      <c r="F208" s="30"/>
    </row>
    <row r="209" spans="6:6">
      <c r="F209" s="30"/>
    </row>
    <row r="210" spans="6:6">
      <c r="F210" s="30"/>
    </row>
    <row r="211" spans="6:6">
      <c r="F211" s="30"/>
    </row>
    <row r="212" spans="6:6">
      <c r="F212" s="30"/>
    </row>
    <row r="213" spans="6:6">
      <c r="F213" s="30"/>
    </row>
    <row r="214" spans="6:6">
      <c r="F214" s="30"/>
    </row>
    <row r="215" spans="6:6">
      <c r="F215" s="30"/>
    </row>
    <row r="216" spans="6:6">
      <c r="F216" s="30"/>
    </row>
    <row r="217" spans="6:6">
      <c r="F217" s="30"/>
    </row>
    <row r="218" spans="6:6">
      <c r="F218" s="30"/>
    </row>
    <row r="219" spans="6:6">
      <c r="F219" s="30"/>
    </row>
    <row r="220" spans="6:6">
      <c r="F220" s="30"/>
    </row>
    <row r="221" spans="6:6">
      <c r="F221" s="30"/>
    </row>
    <row r="222" spans="6:6">
      <c r="F222" s="30"/>
    </row>
    <row r="223" spans="6:6">
      <c r="F223" s="30"/>
    </row>
    <row r="224" spans="6:6">
      <c r="F224" s="30"/>
    </row>
    <row r="225" spans="6:6">
      <c r="F225" s="30"/>
    </row>
    <row r="226" spans="6:6">
      <c r="F226" s="30"/>
    </row>
    <row r="227" spans="6:6">
      <c r="F227" s="30"/>
    </row>
    <row r="228" spans="6:6">
      <c r="F228" s="30"/>
    </row>
    <row r="229" spans="6:6">
      <c r="F229" s="30"/>
    </row>
    <row r="230" spans="6:6">
      <c r="F230" s="30"/>
    </row>
    <row r="231" spans="6:6">
      <c r="F231" s="30"/>
    </row>
    <row r="232" spans="6:6">
      <c r="F232" s="30"/>
    </row>
    <row r="233" spans="6:6">
      <c r="F233" s="30"/>
    </row>
    <row r="234" spans="6:6">
      <c r="F234" s="30"/>
    </row>
    <row r="235" spans="6:6">
      <c r="F235" s="30"/>
    </row>
    <row r="236" spans="6:6">
      <c r="F236" s="30"/>
    </row>
    <row r="237" spans="6:6">
      <c r="F237" s="30"/>
    </row>
    <row r="238" spans="6:6">
      <c r="F238" s="30"/>
    </row>
    <row r="239" spans="6:6">
      <c r="F239" s="30"/>
    </row>
    <row r="240" spans="6:6">
      <c r="F240" s="30"/>
    </row>
    <row r="241" spans="6:6">
      <c r="F241" s="30"/>
    </row>
    <row r="242" spans="6:6">
      <c r="F242" s="30"/>
    </row>
  </sheetData>
  <dataConsolidate/>
  <mergeCells count="3">
    <mergeCell ref="G11:K12"/>
    <mergeCell ref="G3:K3"/>
    <mergeCell ref="G13:N13"/>
  </mergeCell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Discount Percentage by School</vt:lpstr>
      <vt:lpstr>Discount Percentage by District</vt:lpstr>
    </vt:vector>
  </TitlesOfParts>
  <Manager/>
  <Company>North Carolina State University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State Valid File Template</dc:title>
  <dc:subject/>
  <dc:creator>Friday Institute for Educational Innovation</dc:creator>
  <cp:keywords/>
  <dc:description>http://www.fi.ncsu.edu</dc:description>
  <cp:lastModifiedBy>DMS</cp:lastModifiedBy>
  <dcterms:created xsi:type="dcterms:W3CDTF">2015-12-23T23:10:30Z</dcterms:created>
  <dcterms:modified xsi:type="dcterms:W3CDTF">2016-02-11T21:29:24Z</dcterms:modified>
  <cp:category/>
</cp:coreProperties>
</file>